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698" firstSheet="2" activeTab="9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 EJA" sheetId="17" r:id="rId7"/>
    <sheet name="Psicopedagogo" sheetId="18" r:id="rId8"/>
    <sheet name="Uniformes" sheetId="12" r:id="rId9"/>
    <sheet name="RESUMO" sheetId="13" r:id="rId10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<sst xmlns="http://schemas.openxmlformats.org/spreadsheetml/2006/main" count="1874" uniqueCount="281">
  <si>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</si>
  <si>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</si>
  <si>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</si>
  <si>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</si>
  <si>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</si>
  <si>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</si>
  <si>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</si>
  <si>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</si>
  <si>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</si>
  <si>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</si>
  <si>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</si>
  <si>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</si>
  <si>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</si>
  <si>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</si>
  <si>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</si>
  <si>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</si>
  <si>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</si>
  <si>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</si>
  <si>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</si>
  <si>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</si>
  <si>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</si>
  <si>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</si>
  <si>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</si>
  <si>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</si>
  <si>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</si>
  <si>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</si>
  <si>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</si>
  <si>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</si>
  <si>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</si>
  <si>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</si>
  <si>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</si>
  <si>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</si>
  <si>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</si>
  <si>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</si>
  <si>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</si>
  <si>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</si>
  <si>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</si>
  <si>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</si>
  <si>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</si>
  <si>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</si>
  <si>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</si>
  <si>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</si>
  <si>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</si>
  <si>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</si>
  <si>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</si>
  <si>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</si>
  <si>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</si>
  <si>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</si>
  <si>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</si>
  <si>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</si>
  <si>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</si>
  <si>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</si>
  <si>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</si>
  <si>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</si>
  <si>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</si>
  <si>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</si>
  <si>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</si>
  <si>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</si>
  <si>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</si>
  <si>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</si>
  <si>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</si>
  <si>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</si>
  <si>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</si>
  <si>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</si>
  <si>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</si>
  <si>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</si>
  <si>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</si>
  <si>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</si>
  <si>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</si>
  <si>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</si>
  <si>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</si>
  <si>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</si>
  <si>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</si>
  <si>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</si>
  <si>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</si>
  <si>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</si>
  <si>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</si>
  <si>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</si>
  <si>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</si>
  <si>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</si>
  <si>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</si>
  <si>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</si>
  <si>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</si>
  <si>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</si>
  <si>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</si>
  <si>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</si>
  <si>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</si>
  <si>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</si>
  <si>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</si>
  <si>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</si>
  <si>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</si>
  <si>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</si>
  <si>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</si>
  <si>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</si>
  <si>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</si>
  <si>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</si>
  <si>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</si>
  <si>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</si>
  <si>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</si>
  <si>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</si>
  <si>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</si>
  <si>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</si>
  <si>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</si>
  <si>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</si>
  <si>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</si>
  <si>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</si>
  <si>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</si>
  <si>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</si>
  <si>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</si>
  <si>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</si>
  <si>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</si>
  <si>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</si>
  <si>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</si>
  <si>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</si>
  <si>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</si>
  <si>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</si>
  <si>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</si>
  <si>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</si>
  <si>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</si>
  <si>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</si>
  <si>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</si>
  <si>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</si>
  <si>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</si>
  <si>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</si>
  <si>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</si>
  <si>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</si>
  <si>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</si>
  <si>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</si>
  <si>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</si>
  <si>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</si>
  <si>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</si>
  <si>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</si>
  <si>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</si>
  <si>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</si>
  <si>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</si>
  <si>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</si>
  <si>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</si>
  <si>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</si>
  <si>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</si>
  <si>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</si>
  <si>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</si>
  <si>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</si>
  <si>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</si>
  <si>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</si>
  <si>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</si>
  <si>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</si>
  <si>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</si>
  <si>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</si>
  <si>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</si>
  <si>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</si>
  <si>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</si>
  <si>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</si>
  <si>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</si>
  <si>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</si>
  <si>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</si>
  <si>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</si>
  <si>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</si>
  <si>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</si>
  <si>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</si>
  <si>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</si>
  <si>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</si>
  <si>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</si>
  <si>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</si>
  <si>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</si>
  <si>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</si>
  <si>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</si>
  <si>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</si>
  <si>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</si>
  <si>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</si>
  <si>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</si>
  <si>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</si>
  <si>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</si>
  <si>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</si>
  <si>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</si>
  <si>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</si>
  <si>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</si>
  <si>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</si>
  <si>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</si>
  <si>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</si>
  <si>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</si>
  <si>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</si>
  <si>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</si>
  <si>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</si>
  <si>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</si>
  <si>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</si>
  <si>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</si>
  <si>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</si>
  <si>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</si>
  <si>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</si>
  <si>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</si>
  <si>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</si>
  <si>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</si>
  <si>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</si>
  <si>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</si>
  <si>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</si>
  <si>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44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</si>
  <si>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</si>
  <si>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</si>
  <si>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</si>
  <si>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</si>
  <si>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</si>
  <si>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</si>
  <si>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</si>
  <si>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</si>
  <si>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</si>
  <si>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</si>
  <si>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</si>
  <si>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</si>
  <si>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</si>
  <si>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</si>
  <si>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</si>
  <si>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</si>
  <si>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</si>
  <si>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</si>
  <si>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</si>
  <si>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</si>
  <si>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</si>
  <si>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</si>
  <si>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</si>
  <si>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</si>
  <si>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</si>
  <si>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</si>
  <si>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</si>
  <si>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</si>
  <si>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</si>
  <si>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</si>
  <si>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</si>
  <si>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</si>
  <si>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</si>
  <si>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</si>
  <si>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</si>
  <si>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</si>
  <si>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</si>
  <si>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</si>
  <si>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</si>
  <si>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</si>
  <si>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</si>
  <si>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</si>
  <si>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</si>
  <si>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</si>
  <si>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Joves e Adultos</t>
  </si>
  <si>
    <t>2312-05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</si>
  <si>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</si>
  <si>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</si>
  <si>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</si>
  <si>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</si>
  <si>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</si>
  <si>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</si>
  <si>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</si>
  <si>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</si>
  <si>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</si>
  <si>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</si>
  <si>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</si>
  <si>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</si>
  <si>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</si>
  <si>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</si>
  <si>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</si>
  <si>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</si>
  <si>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</si>
  <si>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</si>
  <si>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</si>
  <si>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</si>
  <si>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</si>
  <si>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</si>
  <si>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</si>
  <si>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</si>
  <si>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</si>
  <si>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</si>
  <si>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</si>
  <si>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</si>
  <si>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</si>
  <si>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</si>
  <si>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</si>
  <si>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</si>
  <si>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</si>
  <si>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</si>
  <si>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</si>
  <si>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</si>
  <si>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</si>
  <si>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ALFABETIZADOR DE JOVENS E ADULTOS - CBO: 2312-05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</si>
  <si>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44 (quarenta e quatro) horas;</t>
    </r>
  </si>
</sst>
</file>

<file path=xl/styles.xml><?xml version="1.0" encoding="utf-8"?>
<styleSheet xmlns="http://schemas.openxmlformats.org/spreadsheetml/2006/main">
  <numFmts count="11">
    <numFmt numFmtId="176" formatCode="_-* #,##0_-;\-* #,##0_-;_-* &quot;-&quot;_-;_-@_-"/>
    <numFmt numFmtId="177" formatCode="&quot;R$ &quot;#,##0.00"/>
    <numFmt numFmtId="178" formatCode="_-&quot;R$&quot;* #,##0_-;\-&quot;R$&quot;* #,##0_-;_-&quot;R$&quot;* &quot;-&quot;_-;_-@_-"/>
    <numFmt numFmtId="179" formatCode="_-&quot;R$ &quot;* #,##0.00_-;&quot;-R$ &quot;* #,##0.00_-;_-&quot;R$ &quot;* \-??_-;_-@_-"/>
    <numFmt numFmtId="180" formatCode="&quot;R$&quot;#,##0.00_);[Red]\(&quot;R$&quot;#,##0.00\)"/>
    <numFmt numFmtId="181" formatCode="_-* #,##0.00_-;\-* #,##0.00_-;_-* &quot;-&quot;??_-;_-@_-"/>
    <numFmt numFmtId="182" formatCode="&quot;R$&quot;\ #,##0.00_);[Red]\(&quot;R$&quot;\ 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8" fontId="21" fillId="0" borderId="0" applyBorder="0" applyAlignment="0" applyProtection="0"/>
    <xf numFmtId="176" fontId="21" fillId="0" borderId="0" applyBorder="0" applyAlignment="0" applyProtection="0"/>
    <xf numFmtId="0" fontId="18" fillId="16" borderId="0" applyNumberFormat="0" applyBorder="0" applyAlignment="0" applyProtection="0">
      <alignment vertical="center"/>
    </xf>
    <xf numFmtId="9" fontId="0" fillId="0" borderId="0" applyBorder="0" applyProtection="0"/>
    <xf numFmtId="0" fontId="22" fillId="0" borderId="18" applyNumberFormat="0" applyFill="0" applyAlignment="0" applyProtection="0">
      <alignment vertical="center"/>
    </xf>
    <xf numFmtId="0" fontId="20" fillId="24" borderId="17" applyNumberFormat="0" applyAlignment="0" applyProtection="0">
      <alignment vertical="center"/>
    </xf>
    <xf numFmtId="181" fontId="21" fillId="0" borderId="0" applyBorder="0" applyAlignment="0" applyProtection="0"/>
    <xf numFmtId="0" fontId="18" fillId="27" borderId="0" applyNumberFormat="0" applyBorder="0" applyAlignment="0" applyProtection="0">
      <alignment vertical="center"/>
    </xf>
    <xf numFmtId="179" fontId="0" fillId="0" borderId="0" applyBorder="0" applyProtection="0"/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6" fillId="28" borderId="20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29" borderId="21" applyNumberFormat="0" applyAlignment="0" applyProtection="0">
      <alignment vertical="center"/>
    </xf>
    <xf numFmtId="0" fontId="34" fillId="33" borderId="24" applyNumberFormat="0" applyAlignment="0" applyProtection="0">
      <alignment vertical="center"/>
    </xf>
    <xf numFmtId="0" fontId="36" fillId="33" borderId="21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18" fillId="4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1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0" fontId="6" fillId="6" borderId="0" xfId="0" applyNumberFormat="1" applyFont="1" applyFill="1" applyAlignment="1">
      <alignment horizontal="center" vertical="center" wrapText="1"/>
    </xf>
    <xf numFmtId="180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0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77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77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77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3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3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77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7" fontId="0" fillId="11" borderId="0" xfId="0" applyNumberFormat="1" applyFill="1" applyAlignment="1">
      <alignment horizontal="center" vertical="center"/>
    </xf>
    <xf numFmtId="17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7" fontId="0" fillId="6" borderId="0" xfId="0" applyNumberFormat="1" applyFill="1" applyAlignment="1">
      <alignment horizontal="center"/>
    </xf>
    <xf numFmtId="177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4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77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7" fontId="13" fillId="0" borderId="0" xfId="0" applyNumberFormat="1" applyFont="1" applyAlignment="1">
      <alignment horizontal="center"/>
    </xf>
    <xf numFmtId="177" fontId="14" fillId="11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 vertical="center"/>
    </xf>
    <xf numFmtId="177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3" fontId="0" fillId="11" borderId="0" xfId="0" applyNumberFormat="1" applyFill="1"/>
    <xf numFmtId="185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77" fontId="12" fillId="8" borderId="0" xfId="0" applyNumberFormat="1" applyFont="1" applyFill="1" applyAlignment="1">
      <alignment horizontal="center"/>
    </xf>
    <xf numFmtId="180" fontId="0" fillId="11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9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7" fontId="0" fillId="0" borderId="0" xfId="0" applyNumberFormat="1" applyFont="1" applyAlignment="1">
      <alignment horizontal="center" vertical="center" wrapText="1"/>
    </xf>
    <xf numFmtId="177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40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39:D147" totalsRowShown="0">
  <autoFilter ref="A139:D147"/>
  <tableColumns count="4">
    <tableColumn id="1" name="Item" dataDxfId="390"/>
    <tableColumn id="2" name="Mão de obra vinculada à execução contratual" dataDxfId="391"/>
    <tableColumn id="3" name="-" dataDxfId="392"/>
    <tableColumn id="4" name="Valor" dataDxfId="393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394"/>
    <tableColumn id="2" name="PEÇA" dataDxfId="395"/>
    <tableColumn id="3" name="DESCRIÇÃO" dataDxfId="396"/>
    <tableColumn id="4" name="UNIDADE" dataDxfId="397"/>
    <tableColumn id="5" name="VALOR MÉDIO UNITÁRIO (R$)" dataDxfId="398"/>
    <tableColumn id="6" name="QUANTIDADE ANUAL" dataDxfId="399"/>
    <tableColumn id="7" name="VALOR ANUAL POR EMPREGADO (R$)" dataDxfId="400"/>
    <tableColumn id="8" name="VALOR MENSAL POR EMPREGADO (R$)" totalsRowFunction="sum" dataDxfId="401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402"/>
    <tableColumn id="2" name="Descrição" dataDxfId="403"/>
    <tableColumn id="7" name="Unidade" dataDxfId="404"/>
    <tableColumn id="3" name="Quantidade" dataDxfId="405"/>
    <tableColumn id="6" name="VIGÊNCIA (Mês)" dataDxfId="406"/>
    <tableColumn id="4" name="VALOR UNITÁRIO MÁXIMO ACEITÁVEL" dataDxfId="407"/>
    <tableColumn id="5" name="VALOR TOTAL MÁXIMO ACEITÁVEL" totalsRowFunction="custom">
      <totalsRowFormula>SUM(G3:G8)</totalsRowFormula>
       dataDxfId="408"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8:D72" totalsRowCount="1">
  <autoFilter ref="A68:D71"/>
  <tableColumns count="4">
    <tableColumn id="1" name="2" totalsRowLabel="Total" dataDxfId="86"/>
    <tableColumn id="2" name="Encargos e Benefícios Anuais, Mensais e Diários" dataDxfId="87"/>
    <tableColumn id="3" name="Comentário" dataDxfId="88"/>
    <tableColumn id="4" name="Valor" totalsRowFunction="custom">
      <totalsRowFormula>TRUNC((SUM(D69:D71)),2)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90"/>
    <tableColumn id="2" name="GPS, FGTS e outras contribuições" dataDxfId="91"/>
    <tableColumn id="3" name="Percentual" totalsRowFunction="custom">
      <totalsRowFormula>SUM(C47:C54)</totalsRowFormula>
       dataDxfId="92"
    </tableColumn>
    <tableColumn id="4" name="Valor " totalsRowFunction="custom">
      <totalsRowFormula>TRUNC(SUM(D47:D54),2)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2:D118" totalsRowCount="1">
  <autoFilter ref="A112:D117"/>
  <tableColumns count="4">
    <tableColumn id="1" name="5" totalsRowLabel="Total" dataDxfId="94"/>
    <tableColumn id="2" name="Insumos Diversos" dataDxfId="95"/>
    <tableColumn id="3" name="Comentário" dataDxfId="96"/>
    <tableColumn id="4" name="Valor" totalsRowFunction="sum" dataDxfId="97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8:D135" totalsRowCount="1">
  <tableColumns count="4">
    <tableColumn id="1" name="6" totalsRowLabel="Total" dataDxfId="98"/>
    <tableColumn id="2" name="Custos Indiretos, Tributos e Lucro" dataDxfId="99"/>
    <tableColumn id="3" name="Percentual" dataDxfId="100"/>
    <tableColumn id="4" name="Valor" totalsRowFunction="custom">
      <totalsRowFormula>SUM(D129:D131)</totalsRowFormula>
       dataDxfId="101"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6:D109" totalsRowCount="1">
  <autoFilter ref="A106:D108"/>
  <tableColumns count="4">
    <tableColumn id="1" name="4" totalsRowLabel="Total" dataDxfId="102"/>
    <tableColumn id="2" name="Custo de Reposição do Profissional Ausente" dataDxfId="103"/>
    <tableColumn id="3" name="Comentário" totalsRowLabel="*Nota: Se o titular USUFRUIR do descanso intrajornada, o total é o somatório dos subitens 4.1 e 4.2" dataDxfId="104"/>
    <tableColumn id="4" name="Valor" totalsRowFunction="custom">
      <totalsRowFormula>TRUNC((SUM(D107:D108)),2)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1:D103" totalsRowCount="1">
  <autoFilter ref="A101:D102"/>
  <tableColumns count="4">
    <tableColumn id="1" name="4.2" totalsRowLabel="Total" dataDxfId="106"/>
    <tableColumn id="2" name="Substituto na Intrajornada " dataDxfId="107"/>
    <tableColumn id="3" name="Comentário" dataDxfId="108"/>
    <tableColumn id="4" name="Valor" totalsRowFunction="custom">
      <totalsRowFormula>D102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1:D98" totalsRowCount="1">
  <autoFilter ref="A91:D97"/>
  <tableColumns count="4">
    <tableColumn id="1" name="4.1" totalsRowLabel="Total" dataDxfId="114"/>
    <tableColumn id="2" name="Substituto nas Ausências Legais" dataDxfId="115"/>
    <tableColumn id="3" name="Percentual" totalsRowFunction="custom">
      <totalsRowFormula>SUM(C92:C97)</totalsRowFormula>
       dataDxfId="116"
    </tableColumn>
    <tableColumn id="4" name="Valor" totalsRowFunction="custom">
      <totalsRowFormula>TRUNC((SUM(D92:D97)),2)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18"/>
    <tableColumn id="2" name="Composição da Remuneração" dataDxfId="119"/>
    <tableColumn id="3" name="Comentário" dataDxfId="120"/>
    <tableColumn id="4" name="Valor" totalsRowFunction="custom">
      <totalsRowFormula>TRUNC((SUM(D25:D30)),2)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5" totalsRowCount="1">
  <autoFilter ref="A58:D64"/>
  <tableColumns count="4">
    <tableColumn id="1" name="2.3" totalsRowLabel="Total" dataDxfId="122"/>
    <tableColumn id="2" name="Benefícios Mensais e Diários" dataDxfId="123"/>
    <tableColumn id="3" name="Comentário" dataDxfId="124"/>
    <tableColumn id="4" name="Valor" totalsRowFunction="custom">
      <totalsRowFormula>TRUNC((SUM(D59:D64)),2)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134"/>
    <tableColumn id="2" name="Provisão para Rescisão" dataDxfId="135"/>
    <tableColumn id="3" name="Percentual" totalsRowFunction="custom">
      <totalsRowFormula>SUM(C76:C81)</totalsRowFormula>
       dataDxfId="136"
    </tableColumn>
    <tableColumn id="4" name="Valor" totalsRowFunction="custom">
      <totalsRowFormula>TRUNC((SUM(D76:D81)),2)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138"/>
    <tableColumn id="2" name="Custos Indiretos, Tributos e Lucro" dataDxfId="139"/>
    <tableColumn id="3" name="Percentual" dataDxfId="140"/>
    <tableColumn id="4" name="Valor" totalsRowFunction="custom">
      <totalsRowFormula>SUM(D129:D131)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42"/>
    <tableColumn id="2" name="Descrição" dataDxfId="143"/>
    <tableColumn id="3" name="Comentário" dataDxfId="144"/>
    <tableColumn id="4" name="Valor" dataDxfId="145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150"/>
    <tableColumn id="2" name="Mão de obra vinculada à execução contratual" dataDxfId="151"/>
    <tableColumn id="3" name="-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54"/>
    <tableColumn id="2" name="Composição da Remuneração" dataDxfId="155"/>
    <tableColumn id="3" name="Comentário" dataDxfId="156"/>
    <tableColumn id="4" name="Valor" totalsRowFunction="custom">
      <totalsRowFormula>TRUNC((SUM(D25:D30)),2)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58"/>
    <tableColumn id="2" name="Substituto nas Ausências Legais" dataDxfId="159"/>
    <tableColumn id="3" name="Percentual" totalsRowFunction="custom">
      <totalsRowFormula>SUM(C92:C97)</totalsRowFormula>
       dataDxfId="160"
    </tableColumn>
    <tableColumn id="4" name="Valor" totalsRowFunction="custom">
      <totalsRowFormula>TRUNC((SUM(D92:D97)),2)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62"/>
    <tableColumn id="2" name="13º (décimo terceiro) Salário, Férias e Adicional de Férias" dataDxfId="163"/>
    <tableColumn id="3" name="Percentual" dataDxfId="164"/>
    <tableColumn id="4" name="Valor" totalsRowFunction="custom">
      <totalsRowFormula>TRUNC((SUM(D37:D38)),2)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66"/>
    <tableColumn id="2" name="Benefícios Mensais e Diários" dataDxfId="167"/>
    <tableColumn id="3" name="Comentário" dataDxfId="168"/>
    <tableColumn id="4" name="Valor" totalsRowFunction="custom">
      <totalsRowFormula>TRUNC((SUM(D59:D64)),2)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70"/>
    <tableColumn id="2" name="Encargos e Benefícios Anuais, Mensais e Diários" dataDxfId="171"/>
    <tableColumn id="3" name="Comentário" dataDxfId="172"/>
    <tableColumn id="4" name="Valor" totalsRowFunction="custom">
      <totalsRowFormula>TRUNC((SUM(D69:D71)),2)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74"/>
    <tableColumn id="2" name="GPS, FGTS e outras contribuições" dataDxfId="175"/>
    <tableColumn id="3" name="Percentual" totalsRowFunction="custom">
      <totalsRowFormula>SUM(C47:C54)</totalsRowFormula>
       dataDxfId="176"
    </tableColumn>
    <tableColumn id="4" name="Valor " totalsRowFunction="custom">
      <totalsRowFormula>TRUNC(SUM(D47:D54),2)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78"/>
    <tableColumn id="2" name="Custo de Reposição do Profissional Ausente" dataDxfId="179"/>
    <tableColumn id="3" name="Comentário" totalsRowLabel="*Nota: Se o titular USUFRUIR do descanso intrajornada, o total é o somatório dos subitens 4.1 e 4.2" dataDxfId="180"/>
    <tableColumn id="4" name="Valor" totalsRowFunction="custom">
      <totalsRowFormula>TRUNC((SUM(D107:D108)),2)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82"/>
    <tableColumn id="2" name="Insumos Diversos" dataDxfId="183"/>
    <tableColumn id="3" name="Comentário" dataDxfId="184"/>
    <tableColumn id="4" name="Valor" totalsRowFunction="sum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5:D82" totalsRowCount="1">
  <autoFilter ref="A75:D81"/>
  <tableColumns count="4">
    <tableColumn id="1" name="3" totalsRowLabel="Total" dataDxfId="186"/>
    <tableColumn id="2" name="Provisão para Rescisão" dataDxfId="187"/>
    <tableColumn id="3" name="Percentual" totalsRowFunction="custom">
      <totalsRowFormula>SUM(C76:C81)</totalsRowFormula>
       dataDxfId="188"
    </tableColumn>
    <tableColumn id="4" name="Valor" totalsRowFunction="custom">
      <totalsRowFormula>TRUNC((SUM(D76:D81)),2)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8:D72" totalsRowCount="1">
  <autoFilter ref="A68:D71"/>
  <tableColumns count="4">
    <tableColumn id="1" name="2" totalsRowLabel="Total" dataDxfId="190"/>
    <tableColumn id="2" name="Encargos e Benefícios Anuais, Mensais e Diários" dataDxfId="191"/>
    <tableColumn id="3" name="Comentário" dataDxfId="192"/>
    <tableColumn id="4" name="Valor" totalsRowFunction="custom">
      <totalsRowFormula>TRUNC((SUM(D69:D71)),2)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94"/>
    <tableColumn id="2" name="GPS, FGTS e outras contribuições" dataDxfId="195"/>
    <tableColumn id="3" name="Percentual" totalsRowFunction="custom">
      <totalsRowFormula>SUM(C47:C54)</totalsRowFormula>
       dataDxfId="196"
    </tableColumn>
    <tableColumn id="4" name="Valor " totalsRowFunction="custom">
      <totalsRowFormula>TRUNC(SUM(D47:D54),2)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2:D118" totalsRowCount="1">
  <autoFilter ref="A112:D117"/>
  <tableColumns count="4">
    <tableColumn id="1" name="5" totalsRowLabel="Total" dataDxfId="198"/>
    <tableColumn id="2" name="Insumos Diversos" dataDxfId="199"/>
    <tableColumn id="3" name="Comentário" dataDxfId="200"/>
    <tableColumn id="4" name="Valor" totalsRowFunction="sum" dataDxfId="201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8:D135" totalsRowCount="1">
  <tableColumns count="4">
    <tableColumn id="1" name="6" totalsRowLabel="Total" dataDxfId="202"/>
    <tableColumn id="2" name="Custos Indiretos, Tributos e Lucro" dataDxfId="203"/>
    <tableColumn id="3" name="Percentual" dataDxfId="204"/>
    <tableColumn id="4" name="Valor" totalsRowFunction="custom">
      <totalsRowFormula>SUM(D129:D131)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6:D109" totalsRowCount="1">
  <autoFilter ref="A106:D108"/>
  <tableColumns count="4">
    <tableColumn id="1" name="4" totalsRowLabel="Total" dataDxfId="206"/>
    <tableColumn id="2" name="Custo de Reposição do Profissional Ausente" dataDxfId="207"/>
    <tableColumn id="3" name="Comentário" totalsRowLabel="*Nota: Se o titular USUFRUIR do descanso intrajornada, o total é o somatório dos subitens 4.1 e 4.2" dataDxfId="208"/>
    <tableColumn id="4" name="Valor" totalsRowFunction="custom">
      <totalsRowFormula>TRUNC((SUM(D107:D108)),2)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214"/>
    <tableColumn id="2" name="13º (décimo terceiro) Salário, Férias e Adicional de Férias" dataDxfId="215"/>
    <tableColumn id="3" name="Percentual" dataDxfId="216"/>
    <tableColumn id="4" name="Valor" totalsRowFunction="custom">
      <totalsRowFormula>TRUNC((SUM(D37:D38)),2)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TRUNC((SUM(D25:D30)),2)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5" totalsRowCount="1">
  <autoFilter ref="A58:D64"/>
  <tableColumns count="4">
    <tableColumn id="1" name="2.3" totalsRowLabel="Total" dataDxfId="226"/>
    <tableColumn id="2" name="Benefícios Mensais e Diários" dataDxfId="227"/>
    <tableColumn id="3" name="Comentário" dataDxfId="228"/>
    <tableColumn id="4" name="Valor" totalsRowFunction="custom">
      <totalsRowFormula>TRUNC((SUM(D59:D64)),2)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5:D82" totalsRowCount="1">
  <autoFilter ref="A75:D81"/>
  <tableColumns count="4">
    <tableColumn id="1" name="3" totalsRowLabel="Total" dataDxfId="238"/>
    <tableColumn id="2" name="Provisão para Rescisão" dataDxfId="239"/>
    <tableColumn id="3" name="Percentual" totalsRowFunction="custom">
      <totalsRowFormula>SUM(C76:C81)</totalsRowFormula>
       dataDxfId="240"
    </tableColumn>
    <tableColumn id="4" name="Valor" totalsRowFunction="custom">
      <totalsRowFormula>TRUNC((SUM(D76:D81)),2)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8:D72" totalsRowCount="1">
  <autoFilter ref="A68:D71"/>
  <tableColumns count="4">
    <tableColumn id="1" name="2" totalsRowLabel="Total" dataDxfId="242"/>
    <tableColumn id="2" name="Encargos e Benefícios Anuais, Mensais e Diários" dataDxfId="243"/>
    <tableColumn id="3" name="Comentário" dataDxfId="244"/>
    <tableColumn id="4" name="Valor" totalsRowFunction="custom">
      <totalsRowFormula>TRUNC((SUM(D69:D71)),2)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46"/>
    <tableColumn id="2" name="GPS, FGTS e outras contribuições" dataDxfId="247"/>
    <tableColumn id="3" name="Percentual" totalsRowFunction="custom">
      <totalsRowFormula>SUM(C47:C54)</totalsRowFormula>
       dataDxfId="248"
    </tableColumn>
    <tableColumn id="4" name="Valor " totalsRowFunction="custom">
      <totalsRowFormula>TRUNC(SUM(D47:D54),2)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2:D118" totalsRowCount="1">
  <autoFilter ref="A112:D117"/>
  <tableColumns count="4">
    <tableColumn id="1" name="5" totalsRowLabel="Total" dataDxfId="250"/>
    <tableColumn id="2" name="Insumos Diversos" dataDxfId="251"/>
    <tableColumn id="3" name="Comentário" dataDxfId="252"/>
    <tableColumn id="4" name="Valor" totalsRowFunction="sum" dataDxfId="253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8:D135" totalsRowCount="1">
  <tableColumns count="4">
    <tableColumn id="1" name="6" totalsRowLabel="Total" dataDxfId="254"/>
    <tableColumn id="2" name="Custos Indiretos, Tributos e Lucro" dataDxfId="255"/>
    <tableColumn id="3" name="Percentual" dataDxfId="256"/>
    <tableColumn id="4" name="Valor" totalsRowFunction="custom">
      <totalsRowFormula>SUM(D129:D131)</totalsRowFormula>
       dataDxfId="257"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6:D109" totalsRowCount="1">
  <autoFilter ref="A106:D108"/>
  <tableColumns count="4">
    <tableColumn id="1" name="4" totalsRowLabel="Total" dataDxfId="258"/>
    <tableColumn id="2" name="Custo de Reposição do Profissional Ausente" dataDxfId="259"/>
    <tableColumn id="3" name="Comentário" totalsRowLabel="*Nota: Se o titular USUFRUIR do descanso intrajornada, o total é o somatório dos subitens 4.1 e 4.2" dataDxfId="260"/>
    <tableColumn id="4" name="Valor" totalsRowFunction="custom">
      <totalsRowFormula>TRUNC((SUM(D107:D108)),2)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1:D103" totalsRowCount="1">
  <autoFilter ref="A101:D102"/>
  <tableColumns count="4">
    <tableColumn id="1" name="4.2" totalsRowLabel="Total" dataDxfId="262"/>
    <tableColumn id="2" name="Substituto na Intrajornada " dataDxfId="263"/>
    <tableColumn id="3" name="Comentário" dataDxfId="264"/>
    <tableColumn id="4" name="Valor" totalsRowFunction="custom">
      <totalsRowFormula>D102</totalsRowFormula>
       dataDxfId="265"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66"/>
    <tableColumn id="2" name="13º (décimo terceiro) Salário, Férias e Adicional de Férias" dataDxfId="267"/>
    <tableColumn id="3" name="Percentual" dataDxfId="268"/>
    <tableColumn id="4" name="Valor" totalsRowFunction="custom">
      <totalsRowFormula>TRUNC((SUM(D37:D38)),2)</totalsRowFormula>
       dataDxfId="269"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1:D98" totalsRowCount="1">
  <autoFilter ref="A91:D97"/>
  <tableColumns count="4">
    <tableColumn id="1" name="4.1" totalsRowLabel="Total" dataDxfId="270"/>
    <tableColumn id="2" name="Substituto nas Ausências Legais" dataDxfId="271"/>
    <tableColumn id="3" name="Percentual" totalsRowFunction="custom">
      <totalsRowFormula>SUM(C92:C97)</totalsRowFormula>
       dataDxfId="272"
    </tableColumn>
    <tableColumn id="4" name="Valor" totalsRowFunction="custom">
      <totalsRowFormula>TRUNC((SUM(D92:D97)),2)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74"/>
    <tableColumn id="2" name="Composição da Remuneração" dataDxfId="275"/>
    <tableColumn id="3" name="Comentário" dataDxfId="276"/>
    <tableColumn id="4" name="Valor" totalsRowFunction="custom">
      <totalsRowFormula>TRUNC((SUM(D25:D30)),2)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5" totalsRowCount="1">
  <autoFilter ref="A58:D64"/>
  <tableColumns count="4">
    <tableColumn id="1" name="2.3" totalsRowLabel="Total" dataDxfId="278"/>
    <tableColumn id="2" name="Benefícios Mensais e Diários" dataDxfId="279"/>
    <tableColumn id="3" name="Comentário" dataDxfId="280"/>
    <tableColumn id="4" name="Valor" totalsRowFunction="custom">
      <totalsRowFormula>TRUNC((SUM(D59:D64)),2)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82"/>
    <tableColumn id="2" name="Descrição" dataDxfId="283"/>
    <tableColumn id="3" name="Comentário" dataDxfId="284"/>
    <tableColumn id="4" name="Valor" dataDxfId="285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39:D147" totalsRowShown="0">
  <autoFilter ref="A139:D147"/>
  <tableColumns count="4">
    <tableColumn id="1" name="Item" dataDxfId="286"/>
    <tableColumn id="2" name="Mão de obra vinculada à execução contratual" dataDxfId="287"/>
    <tableColumn id="3" name="-" dataDxfId="288"/>
    <tableColumn id="4" name="Valor" dataDxfId="289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64" displayName="Módulo358_5710464" ref="A75:D82" totalsRowCount="1">
  <autoFilter ref="A75:D81"/>
  <tableColumns count="4">
    <tableColumn id="1" name="3" totalsRowLabel="Total" dataDxfId="290"/>
    <tableColumn id="2" name="Provisão para Rescisão" dataDxfId="291"/>
    <tableColumn id="3" name="Percentual" totalsRowFunction="custom">
      <totalsRowFormula>SUM(C76:C81)</totalsRowFormula>
       dataDxfId="292"
    </tableColumn>
    <tableColumn id="4" name="Valor" totalsRowFunction="custom">
      <totalsRowFormula>TRUNC((SUM(D76:D81)),2)</totalsRowFormula>
       dataDxfId="293"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ResumoMódulo257_6011366" displayName="ResumoMódulo257_6011366" ref="A68:D72" totalsRowCount="1">
  <autoFilter ref="A68:D71"/>
  <tableColumns count="4">
    <tableColumn id="1" name="2" totalsRowLabel="Total" dataDxfId="294"/>
    <tableColumn id="2" name="Encargos e Benefícios Anuais, Mensais e Diários" dataDxfId="295"/>
    <tableColumn id="3" name="Comentário" dataDxfId="296"/>
    <tableColumn id="4" name="Valor" totalsRowFunction="custom">
      <totalsRowFormula>TRUNC((SUM(D69:D71)),2)</totalsRowFormula>
       dataDxfId="297"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Submódulo2.255_6311467" displayName="Submódulo2.255_6311467" ref="A46:D55" totalsRowCount="1">
  <autoFilter ref="A46:D54"/>
  <tableColumns count="4">
    <tableColumn id="1" name="2.2" totalsRowLabel="Total" dataDxfId="298"/>
    <tableColumn id="2" name="GPS, FGTS e outras contribuições" dataDxfId="299"/>
    <tableColumn id="3" name="Percentual" totalsRowFunction="custom">
      <totalsRowFormula>SUM(C47:C54)</totalsRowFormula>
       dataDxfId="300"
    </tableColumn>
    <tableColumn id="4" name="Valor " totalsRowFunction="custom">
      <totalsRowFormula>TRUNC(SUM(D47:D54),2)</totalsRowFormula>
       dataDxfId="301"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562_5811668" displayName="Módulo562_5811668" ref="A112:D118" totalsRowCount="1">
  <autoFilter ref="A112:D117"/>
  <tableColumns count="4">
    <tableColumn id="1" name="5" totalsRowLabel="Total" dataDxfId="302"/>
    <tableColumn id="2" name="Insumos Diversos" dataDxfId="303"/>
    <tableColumn id="3" name="Comentário" dataDxfId="304"/>
    <tableColumn id="4" name="Valor" totalsRowFunction="sum" dataDxfId="305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Módulo663_5910569" displayName="Módulo663_5910569" ref="A128:D135" totalsRowCount="1">
  <tableColumns count="4">
    <tableColumn id="1" name="6" totalsRowLabel="Total" dataDxfId="306"/>
    <tableColumn id="2" name="Custos Indiretos, Tributos e Lucro" dataDxfId="307"/>
    <tableColumn id="3" name="Percentual" dataDxfId="308"/>
    <tableColumn id="4" name="Valor" totalsRowFunction="custom">
      <totalsRowFormula>SUM(D129:D131)</totalsRowFormula>
       dataDxfId="309"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ResumoMódulo461_6211570" displayName="ResumoMódulo461_6211570" ref="A106:D109" totalsRowCount="1">
  <autoFilter ref="A106:D108"/>
  <tableColumns count="4">
    <tableColumn id="1" name="4" totalsRowLabel="Total" dataDxfId="310"/>
    <tableColumn id="2" name="Custo de Reposição do Profissional Ausente" dataDxfId="311"/>
    <tableColumn id="3" name="Comentário" totalsRowLabel="*Nota: Se o titular USUFRUIR do descanso intrajornada, o total é o somatório dos subitens 4.1 e 4.2" dataDxfId="312"/>
    <tableColumn id="4" name="Valor" totalsRowFunction="custom">
      <totalsRowFormula>TRUNC((SUM(D107:D108)),2)</totalsRowFormula>
       dataDxfId="313"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Submódulo4.260_5510771" displayName="Submódulo4.260_5510771" ref="A101:D103" totalsRowCount="1">
  <autoFilter ref="A101:D102"/>
  <tableColumns count="4">
    <tableColumn id="1" name="4.2" totalsRowLabel="Total" dataDxfId="314"/>
    <tableColumn id="2" name="Substituto na Intrajornada " dataDxfId="315"/>
    <tableColumn id="3" name="Comentário" dataDxfId="316"/>
    <tableColumn id="4" name="Valor" totalsRowFunction="custom">
      <totalsRowFormula>D102</totalsRowFormula>
       dataDxfId="317"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Submódulo2.154_6111172" displayName="Submódulo2.154_6111172" ref="A36:D39" totalsRowCount="1">
  <autoFilter ref="A36:D38"/>
  <tableColumns count="4">
    <tableColumn id="1" name="2.1" totalsRowLabel="Total" dataDxfId="318"/>
    <tableColumn id="2" name="13º (décimo terceiro) Salário, Férias e Adicional de Férias" dataDxfId="319"/>
    <tableColumn id="3" name="Percentual" dataDxfId="320"/>
    <tableColumn id="4" name="Valor" totalsRowFunction="custom">
      <totalsRowFormula>TRUNC((SUM(D37:D38)),2)</totalsRowFormula>
       dataDxfId="321"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Submódulo4.159_5411073" displayName="Submódulo4.159_5411073" ref="A91:D98" totalsRowCount="1">
  <autoFilter ref="A91:D97"/>
  <tableColumns count="4">
    <tableColumn id="1" name="4.1" totalsRowLabel="Total" dataDxfId="322"/>
    <tableColumn id="2" name="Substituto nas Ausências Legais" dataDxfId="323"/>
    <tableColumn id="3" name="Percentual" totalsRowFunction="custom">
      <totalsRowFormula>SUM(C92:C97)</totalsRowFormula>
       dataDxfId="324"
    </tableColumn>
    <tableColumn id="4" name="Valor" totalsRowFunction="custom">
      <totalsRowFormula>TRUNC((SUM(D92:D97)),2)</totalsRowFormula>
       dataDxfId="325"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Módulo153_5210974" displayName="Módulo153_5210974" ref="A24:D31" totalsRowCount="1">
  <autoFilter ref="A24:D30"/>
  <tableColumns count="4">
    <tableColumn id="1" name="1" totalsRowLabel="Total" dataDxfId="326"/>
    <tableColumn id="2" name="Composição da Remuneração" dataDxfId="327"/>
    <tableColumn id="3" name="Comentário" dataDxfId="328"/>
    <tableColumn id="4" name="Valor" totalsRowFunction="custom">
      <totalsRowFormula>TRUNC((SUM(D25:D30)),2)</totalsRowFormula>
       dataDxfId="329"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2.356_5311275" displayName="Submódulo2.356_5311275" ref="A58:D65" totalsRowCount="1">
  <autoFilter ref="A58:D64"/>
  <tableColumns count="4">
    <tableColumn id="1" name="2.3" totalsRowLabel="Total" dataDxfId="330"/>
    <tableColumn id="2" name="Benefícios Mensais e Diários" dataDxfId="331"/>
    <tableColumn id="3" name="Comentário" dataDxfId="332"/>
    <tableColumn id="4" name="Valor" totalsRowFunction="custom">
      <totalsRowFormula>TRUNC((SUM(D59:D64)),2)</totalsRowFormula>
       dataDxfId="333"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Table452_5610676" displayName="Table452_5610676" ref="A16:D21" totalsRowShown="0">
  <tableColumns count="4">
    <tableColumn id="1" name="Item" dataDxfId="334"/>
    <tableColumn id="2" name="Descrição" dataDxfId="335"/>
    <tableColumn id="3" name="Comentário" dataDxfId="336"/>
    <tableColumn id="4" name="Valor" dataDxfId="337"/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ResumoPosto64_6410877" displayName="ResumoPosto64_6410877" ref="A139:D147" totalsRowShown="0">
  <autoFilter ref="A139:D147"/>
  <tableColumns count="4">
    <tableColumn id="1" name="Item" dataDxfId="338"/>
    <tableColumn id="2" name="Mão de obra vinculada à execução contratual" dataDxfId="339"/>
    <tableColumn id="3" name="-" dataDxfId="340"/>
    <tableColumn id="4" name="Valor" dataDxfId="341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5:D82" totalsRowCount="1">
  <autoFilter ref="A75:D81"/>
  <tableColumns count="4">
    <tableColumn id="1" name="3" totalsRowLabel="Total" dataDxfId="342"/>
    <tableColumn id="2" name="Provisão para Rescisão" dataDxfId="343"/>
    <tableColumn id="3" name="Percentual" totalsRowFunction="custom">
      <totalsRowFormula>SUM(C76:C81)</totalsRowFormula>
       dataDxfId="344"
    </tableColumn>
    <tableColumn id="4" name="Valor" totalsRowFunction="custom">
      <totalsRowFormula>TRUNC((SUM(D76:D81)),2)</totalsRowFormula>
       dataDxfId="345"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8:D72" totalsRowCount="1">
  <autoFilter ref="A68:D71"/>
  <tableColumns count="4">
    <tableColumn id="1" name="2" totalsRowLabel="Total" dataDxfId="346"/>
    <tableColumn id="2" name="Encargos e Benefícios Anuais, Mensais e Diários" dataDxfId="347"/>
    <tableColumn id="3" name="Comentário" dataDxfId="348"/>
    <tableColumn id="4" name="Valor" totalsRowFunction="custom">
      <totalsRowFormula>TRUNC((SUM(D69:D71)),2)</totalsRowFormula>
       dataDxfId="349"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350"/>
    <tableColumn id="2" name="GPS, FGTS e outras contribuições" dataDxfId="351"/>
    <tableColumn id="3" name="Percentual" totalsRowFunction="custom">
      <totalsRowFormula>SUM(C47:C54)</totalsRowFormula>
       dataDxfId="352"
    </tableColumn>
    <tableColumn id="4" name="Valor " totalsRowFunction="custom">
      <totalsRowFormula>TRUNC(SUM(D47:D54),2)</totalsRowFormula>
       dataDxfId="353"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2:D118" totalsRowCount="1">
  <autoFilter ref="A112:D117"/>
  <tableColumns count="4">
    <tableColumn id="1" name="5" totalsRowLabel="Total" dataDxfId="354"/>
    <tableColumn id="2" name="Insumos Diversos" dataDxfId="355"/>
    <tableColumn id="3" name="Comentário" dataDxfId="356"/>
    <tableColumn id="4" name="Valor" totalsRowFunction="sum" dataDxfId="357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8:D135" totalsRowCount="1">
  <tableColumns count="4">
    <tableColumn id="1" name="6" totalsRowLabel="Total" dataDxfId="358"/>
    <tableColumn id="2" name="Custos Indiretos, Tributos e Lucro" dataDxfId="359"/>
    <tableColumn id="3" name="Percentual" dataDxfId="360"/>
    <tableColumn id="4" name="Valor" totalsRowFunction="custom">
      <totalsRowFormula>SUM(D129:D131)</totalsRowFormula>
       dataDxfId="361"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6:D109" totalsRowCount="1">
  <autoFilter ref="A106:D108"/>
  <tableColumns count="4">
    <tableColumn id="1" name="4" totalsRowLabel="Total" dataDxfId="362"/>
    <tableColumn id="2" name="Custo de Reposição do Profissional Ausente" dataDxfId="363"/>
    <tableColumn id="3" name="Comentário" totalsRowLabel="*Nota: Se o titular USUFRUIR do descanso intrajornada, o total é o somatório dos subitens 4.1 e 4.2" dataDxfId="364"/>
    <tableColumn id="4" name="Valor" totalsRowFunction="custom">
      <totalsRowFormula>TRUNC((SUM(D107:D108)),2)</totalsRowFormula>
       dataDxfId="365"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1:D103" totalsRowCount="1">
  <autoFilter ref="A101:D102"/>
  <tableColumns count="4">
    <tableColumn id="1" name="4.2" totalsRowLabel="Total" dataDxfId="366"/>
    <tableColumn id="2" name="Substituto na Intrajornada " dataDxfId="367"/>
    <tableColumn id="3" name="Comentário" dataDxfId="368"/>
    <tableColumn id="4" name="Valor" totalsRowFunction="custom">
      <totalsRowFormula>D102</totalsRowFormula>
       dataDxfId="369"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370"/>
    <tableColumn id="2" name="13º (décimo terceiro) Salário, Férias e Adicional de Férias" dataDxfId="371"/>
    <tableColumn id="3" name="Percentual" dataDxfId="372"/>
    <tableColumn id="4" name="Valor" totalsRowFunction="custom">
      <totalsRowFormula>TRUNC((SUM(D37:D38)),2)</totalsRowFormula>
       dataDxfId="373"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1:D98" totalsRowCount="1">
  <autoFilter ref="A91:D97"/>
  <tableColumns count="4">
    <tableColumn id="1" name="4.1" totalsRowLabel="Total" dataDxfId="374"/>
    <tableColumn id="2" name="Substituto nas Ausências Legais" dataDxfId="375"/>
    <tableColumn id="3" name="Percentual" totalsRowFunction="custom">
      <totalsRowFormula>SUM(C92:C97)</totalsRowFormula>
       dataDxfId="376"
    </tableColumn>
    <tableColumn id="4" name="Valor" totalsRowFunction="custom">
      <totalsRowFormula>TRUNC((SUM(D92:D97)),2)</totalsRowFormula>
       dataDxfId="377"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378"/>
    <tableColumn id="2" name="Composição da Remuneração" dataDxfId="379"/>
    <tableColumn id="3" name="Comentário" dataDxfId="380"/>
    <tableColumn id="4" name="Valor" totalsRowFunction="custom">
      <totalsRowFormula>TRUNC((SUM(D25:D30)),2)</totalsRowFormula>
       dataDxfId="381"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5" totalsRowCount="1">
  <autoFilter ref="A58:D64"/>
  <tableColumns count="4">
    <tableColumn id="1" name="2.3" totalsRowLabel="Total" dataDxfId="382"/>
    <tableColumn id="2" name="Benefícios Mensais e Diários" dataDxfId="383"/>
    <tableColumn id="3" name="Comentário" dataDxfId="384"/>
    <tableColumn id="4" name="Valor" totalsRowFunction="custom">
      <totalsRowFormula>TRUNC((SUM(D59:D64)),2)</totalsRowFormula>
       dataDxfId="385"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386"/>
    <tableColumn id="2" name="Descrição" dataDxfId="387"/>
    <tableColumn id="3" name="Comentário" dataDxfId="388"/>
    <tableColumn id="4" name="Valor" dataDxfId="38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ht="57" customHeight="1" spans="1:1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ht="51" customHeight="1" spans="1:11">
      <c r="A3" s="124" t="s">
        <v>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ht="54.75" customHeight="1" spans="1:11">
      <c r="A4" s="124" t="s">
        <v>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</row>
    <row r="5" ht="67.5" customHeight="1" spans="1:11">
      <c r="A5" s="125" t="s">
        <v>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6" ht="84.75" customHeight="1" spans="1:11">
      <c r="A6" s="125" t="s">
        <v>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</row>
    <row r="7" ht="49.5" customHeight="1" spans="1:11">
      <c r="A7" s="125" t="s">
        <v>6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ht="38.25" customHeight="1" spans="1:11">
      <c r="A8" s="125" t="s">
        <v>7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</row>
    <row r="9" ht="39.75" customHeight="1" spans="1:11">
      <c r="A9" s="124" t="s">
        <v>8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</row>
    <row r="10" ht="41.25" customHeight="1" spans="1:11">
      <c r="A10" s="124" t="s">
        <v>9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</row>
    <row r="11" ht="41.25" customHeight="1" spans="1:11">
      <c r="A11" s="126" t="s">
        <v>10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</row>
    <row r="12" spans="1:11">
      <c r="A12" s="127" t="s">
        <v>11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</row>
    <row r="13" spans="1:11">
      <c r="A13" s="128" t="s">
        <v>12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>
      <c r="A14" s="128" t="s">
        <v>13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I7" sqref="I7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269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256</v>
      </c>
      <c r="D2" s="4" t="s">
        <v>270</v>
      </c>
      <c r="E2" s="4" t="s">
        <v>271</v>
      </c>
      <c r="F2" s="4" t="s">
        <v>272</v>
      </c>
      <c r="G2" s="4" t="s">
        <v>273</v>
      </c>
    </row>
    <row r="3" ht="90" spans="1:7">
      <c r="A3" s="4">
        <v>2</v>
      </c>
      <c r="B3" s="5" t="s">
        <v>274</v>
      </c>
      <c r="C3" s="4" t="s">
        <v>275</v>
      </c>
      <c r="D3" s="4">
        <v>4</v>
      </c>
      <c r="E3" s="4">
        <v>12</v>
      </c>
      <c r="F3" s="6">
        <f>'Tradutor-Intérprete'!D147</f>
        <v>5952.7</v>
      </c>
      <c r="G3" s="7">
        <f t="shared" ref="G3:G8" si="0">(D3*F3)*(E3)</f>
        <v>285729.6</v>
      </c>
    </row>
    <row r="4" ht="90" spans="1:7">
      <c r="A4" s="8">
        <v>3</v>
      </c>
      <c r="B4" s="9" t="s">
        <v>276</v>
      </c>
      <c r="C4" s="4" t="s">
        <v>275</v>
      </c>
      <c r="D4" s="8">
        <v>1</v>
      </c>
      <c r="E4" s="8">
        <v>12</v>
      </c>
      <c r="F4" s="7">
        <f>'Transcritor Braille'!D147</f>
        <v>4090.11</v>
      </c>
      <c r="G4" s="7">
        <f t="shared" si="0"/>
        <v>49081.32</v>
      </c>
    </row>
    <row r="5" ht="75" spans="1:7">
      <c r="A5" s="4">
        <v>4</v>
      </c>
      <c r="B5" s="5" t="s">
        <v>277</v>
      </c>
      <c r="C5" s="4" t="s">
        <v>275</v>
      </c>
      <c r="D5" s="4">
        <v>2</v>
      </c>
      <c r="E5" s="4">
        <v>12</v>
      </c>
      <c r="F5" s="6">
        <f>Cuidador!D147</f>
        <v>4090.11</v>
      </c>
      <c r="G5" s="7">
        <f t="shared" si="0"/>
        <v>98162.64</v>
      </c>
    </row>
    <row r="6" ht="75" spans="1:7">
      <c r="A6" s="4">
        <v>5</v>
      </c>
      <c r="B6" s="5" t="s">
        <v>278</v>
      </c>
      <c r="C6" s="4" t="s">
        <v>275</v>
      </c>
      <c r="D6" s="4">
        <v>1</v>
      </c>
      <c r="E6" s="4">
        <v>12</v>
      </c>
      <c r="F6" s="6">
        <f>Audiodescritor!D147</f>
        <v>5952.7</v>
      </c>
      <c r="G6" s="7">
        <f t="shared" si="0"/>
        <v>71432.4</v>
      </c>
    </row>
    <row r="7" ht="90" spans="1:7">
      <c r="A7" s="4">
        <v>6</v>
      </c>
      <c r="B7" s="5" t="s">
        <v>279</v>
      </c>
      <c r="C7" s="4" t="s">
        <v>275</v>
      </c>
      <c r="D7" s="4">
        <v>1</v>
      </c>
      <c r="E7" s="4">
        <v>12</v>
      </c>
      <c r="F7" s="6">
        <f>'Alfabetizador EJA'!D147</f>
        <v>5952.7</v>
      </c>
      <c r="G7" s="7">
        <f t="shared" si="0"/>
        <v>71432.4</v>
      </c>
    </row>
    <row r="8" ht="90" spans="1:7">
      <c r="A8" s="8">
        <v>7</v>
      </c>
      <c r="B8" s="9" t="s">
        <v>280</v>
      </c>
      <c r="C8" s="4" t="s">
        <v>275</v>
      </c>
      <c r="D8" s="8">
        <v>1</v>
      </c>
      <c r="E8" s="8">
        <v>12</v>
      </c>
      <c r="F8" s="7">
        <f>Psicopedagogo!D147</f>
        <v>5952.7</v>
      </c>
      <c r="G8" s="7">
        <f t="shared" si="0"/>
        <v>71432.4</v>
      </c>
    </row>
    <row r="9" spans="1:7">
      <c r="A9" s="10" t="s">
        <v>204</v>
      </c>
      <c r="B9" s="10"/>
      <c r="C9" s="10"/>
      <c r="D9" s="10"/>
      <c r="E9" s="10"/>
      <c r="F9" s="10"/>
      <c r="G9" s="11">
        <f>SUM(G3:G8)</f>
        <v>647270.76</v>
      </c>
    </row>
    <row r="10" spans="1:7">
      <c r="A10" s="12"/>
      <c r="B10" s="12"/>
      <c r="C10" s="12"/>
      <c r="D10" s="12"/>
      <c r="E10" s="12"/>
      <c r="F10" s="12"/>
      <c r="G10" s="12"/>
    </row>
    <row r="11" spans="1:7">
      <c r="A11" s="10"/>
      <c r="B11" s="10"/>
      <c r="C11" s="10"/>
      <c r="D11" s="10"/>
      <c r="E11" s="10"/>
      <c r="F11" s="10"/>
      <c r="G11" s="10"/>
    </row>
    <row r="12" spans="1:7">
      <c r="A12" s="10"/>
      <c r="B12" s="10"/>
      <c r="C12" s="10"/>
      <c r="D12" s="10"/>
      <c r="E12" s="10"/>
      <c r="F12" s="10"/>
      <c r="G12" s="10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9" t="s">
        <v>14</v>
      </c>
      <c r="B1" s="109"/>
      <c r="C1" s="109"/>
      <c r="D1" s="109"/>
      <c r="F1" s="55" t="s">
        <v>15</v>
      </c>
      <c r="G1" s="55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1">
      <c r="A2" s="56" t="s">
        <v>16</v>
      </c>
      <c r="B2" t="s">
        <v>17</v>
      </c>
      <c r="C2" s="56" t="s">
        <v>18</v>
      </c>
      <c r="D2" s="56" t="s">
        <v>19</v>
      </c>
      <c r="F2" s="61" t="s">
        <v>17</v>
      </c>
      <c r="G2" s="61" t="s">
        <v>19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>
      <c r="A3" s="56">
        <v>1</v>
      </c>
      <c r="B3" t="s">
        <v>20</v>
      </c>
      <c r="C3" s="56"/>
      <c r="D3" s="56" t="s">
        <v>21</v>
      </c>
      <c r="F3" t="s">
        <v>22</v>
      </c>
      <c r="G3" s="110">
        <v>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>
      <c r="A4" s="56">
        <v>2</v>
      </c>
      <c r="B4" t="s">
        <v>23</v>
      </c>
      <c r="C4" s="56"/>
      <c r="D4" s="56" t="s">
        <v>24</v>
      </c>
      <c r="F4" t="s">
        <v>25</v>
      </c>
      <c r="G4" s="110">
        <v>12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>
      <c r="A5" s="56">
        <v>3</v>
      </c>
      <c r="B5" t="s">
        <v>26</v>
      </c>
      <c r="C5" s="56" t="s">
        <v>27</v>
      </c>
      <c r="D5" s="111">
        <v>998</v>
      </c>
      <c r="F5" t="s">
        <v>28</v>
      </c>
      <c r="G5" s="57">
        <v>22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>
      <c r="A6" s="56">
        <v>4</v>
      </c>
      <c r="B6" t="s">
        <v>29</v>
      </c>
      <c r="C6" s="56" t="s">
        <v>30</v>
      </c>
      <c r="D6" s="56" t="s">
        <v>31</v>
      </c>
      <c r="F6" t="s">
        <v>32</v>
      </c>
      <c r="G6" s="112">
        <v>0.03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1">
      <c r="A7" s="56">
        <v>5</v>
      </c>
      <c r="B7" t="s">
        <v>33</v>
      </c>
      <c r="C7" s="56"/>
      <c r="D7" s="56" t="s">
        <v>34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6:21">
      <c r="F8" s="55" t="s">
        <v>35</v>
      </c>
      <c r="G8" s="55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>
      <c r="A9" s="39" t="s">
        <v>36</v>
      </c>
      <c r="B9" s="39"/>
      <c r="C9" s="39"/>
      <c r="D9" s="39"/>
      <c r="F9" s="61" t="s">
        <v>37</v>
      </c>
      <c r="G9" s="61" t="s">
        <v>38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>
      <c r="A10" s="56" t="s">
        <v>39</v>
      </c>
      <c r="B10" s="61" t="s">
        <v>40</v>
      </c>
      <c r="C10" s="56" t="s">
        <v>18</v>
      </c>
      <c r="D10" s="56" t="s">
        <v>19</v>
      </c>
      <c r="F10" t="s">
        <v>41</v>
      </c>
      <c r="G10" s="62">
        <v>0.4337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>
      <c r="A11" s="56" t="s">
        <v>42</v>
      </c>
      <c r="B11" t="s">
        <v>43</v>
      </c>
      <c r="C11" s="56"/>
      <c r="D11" s="64">
        <f>Salário_Normativo_da_Categoria_Profissional</f>
        <v>998</v>
      </c>
      <c r="F11" t="s">
        <v>44</v>
      </c>
      <c r="G11" s="62">
        <v>0.4337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>
      <c r="A12" s="56" t="s">
        <v>45</v>
      </c>
      <c r="B12" t="s">
        <v>46</v>
      </c>
      <c r="C12" s="56"/>
      <c r="D12" s="64"/>
      <c r="F12" t="s">
        <v>47</v>
      </c>
      <c r="G12" s="62">
        <v>0.0218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>
      <c r="A13" s="56" t="s">
        <v>48</v>
      </c>
      <c r="B13" t="s">
        <v>49</v>
      </c>
      <c r="C13" s="56"/>
      <c r="D13" s="64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>
      <c r="A14" s="56" t="s">
        <v>50</v>
      </c>
      <c r="B14" t="s">
        <v>51</v>
      </c>
      <c r="C14" s="56"/>
      <c r="D14" s="64"/>
      <c r="F14" s="55" t="s">
        <v>52</v>
      </c>
      <c r="G14" s="55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21">
      <c r="A15" s="56" t="s">
        <v>53</v>
      </c>
      <c r="B15" t="s">
        <v>54</v>
      </c>
      <c r="C15" s="56"/>
      <c r="D15" s="64"/>
      <c r="F15" s="113" t="s">
        <v>17</v>
      </c>
      <c r="G15" s="113" t="s">
        <v>38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>
      <c r="A16" s="56" t="s">
        <v>55</v>
      </c>
      <c r="B16" t="s">
        <v>56</v>
      </c>
      <c r="C16" s="56"/>
      <c r="D16" s="64"/>
      <c r="F16" s="67" t="s">
        <v>57</v>
      </c>
      <c r="G16" s="114">
        <v>0.0471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>
      <c r="A17" s="56" t="s">
        <v>58</v>
      </c>
      <c r="C17" s="56"/>
      <c r="D17" s="64">
        <f>SUBTOTAL(109,Módulo1[Valor])</f>
        <v>998</v>
      </c>
      <c r="F17" s="67" t="s">
        <v>59</v>
      </c>
      <c r="G17" s="114">
        <v>0.0467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6:21">
      <c r="F18" s="67" t="s">
        <v>60</v>
      </c>
      <c r="G18" s="115">
        <v>0.0165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>
      <c r="A19" s="65" t="s">
        <v>61</v>
      </c>
      <c r="B19" s="65"/>
      <c r="C19" s="65"/>
      <c r="D19" s="65"/>
      <c r="F19" s="67" t="s">
        <v>62</v>
      </c>
      <c r="G19" s="115">
        <v>0.076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>
      <c r="A20" s="55" t="s">
        <v>63</v>
      </c>
      <c r="B20" s="55"/>
      <c r="C20" s="55"/>
      <c r="D20" s="55"/>
      <c r="F20" s="67" t="s">
        <v>64</v>
      </c>
      <c r="G20" s="115">
        <v>0.05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>
      <c r="A21" s="56" t="s">
        <v>65</v>
      </c>
      <c r="B21" s="61" t="s">
        <v>66</v>
      </c>
      <c r="C21" s="56" t="s">
        <v>18</v>
      </c>
      <c r="D21" s="56" t="s">
        <v>19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>
      <c r="A22" s="56" t="s">
        <v>42</v>
      </c>
      <c r="B22" t="s">
        <v>67</v>
      </c>
      <c r="D22" s="64">
        <f>Módulo1[[#Totals],[Valor]]/12</f>
        <v>83.1666666666667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>
      <c r="A23" s="56" t="s">
        <v>45</v>
      </c>
      <c r="B23" t="s">
        <v>68</v>
      </c>
      <c r="D23" s="64">
        <f>(Módulo1[[#Totals],[Valor]]/12)*(1+(1/3))</f>
        <v>110.888888888889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>
      <c r="A24" s="56" t="s">
        <v>58</v>
      </c>
      <c r="D24" s="64">
        <f>SUBTOTAL(109,Submódulo2.1[Valor])</f>
        <v>194.055555555556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>
      <c r="A25" s="56"/>
      <c r="D25" s="64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>
      <c r="A26" s="116" t="s">
        <v>69</v>
      </c>
      <c r="B26" s="116"/>
      <c r="C26" s="116"/>
      <c r="D26" s="116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>
      <c r="A27" s="116" t="s">
        <v>16</v>
      </c>
      <c r="B27" s="116" t="s">
        <v>70</v>
      </c>
      <c r="C27" s="116" t="s">
        <v>71</v>
      </c>
      <c r="D27" s="117" t="s">
        <v>72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ht="30" spans="1:21">
      <c r="A28" s="76" t="s">
        <v>42</v>
      </c>
      <c r="B28" s="118" t="s">
        <v>73</v>
      </c>
      <c r="C28" s="119" t="s">
        <v>74</v>
      </c>
      <c r="D28" s="118" t="s">
        <v>75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ht="30" spans="1:21">
      <c r="A29" s="76" t="s">
        <v>45</v>
      </c>
      <c r="B29" s="120" t="s">
        <v>68</v>
      </c>
      <c r="C29" s="119" t="s">
        <v>74</v>
      </c>
      <c r="D29" s="118" t="s">
        <v>76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>
      <c r="A30" s="56"/>
      <c r="B30" s="56"/>
      <c r="C30" s="88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4">
      <c r="A31" s="55" t="s">
        <v>77</v>
      </c>
      <c r="B31" s="55"/>
      <c r="C31" s="55"/>
      <c r="D31" s="55"/>
    </row>
    <row r="32" spans="1:4">
      <c r="A32" s="56" t="s">
        <v>78</v>
      </c>
      <c r="B32" s="61" t="s">
        <v>79</v>
      </c>
      <c r="C32" s="56" t="s">
        <v>38</v>
      </c>
      <c r="D32" s="56" t="s">
        <v>80</v>
      </c>
    </row>
    <row r="33" spans="1:4">
      <c r="A33" s="56" t="s">
        <v>42</v>
      </c>
      <c r="B33" t="s">
        <v>81</v>
      </c>
      <c r="C33" s="66">
        <v>0.2</v>
      </c>
      <c r="D33" s="64">
        <f>C33*(Módulo1[[#Totals],[Valor]]+Submódulo2.1[[#Totals],[Valor]])</f>
        <v>238.411111111111</v>
      </c>
    </row>
    <row r="34" spans="1:4">
      <c r="A34" s="56" t="s">
        <v>45</v>
      </c>
      <c r="B34" t="s">
        <v>82</v>
      </c>
      <c r="C34" s="66">
        <v>0.025</v>
      </c>
      <c r="D34" s="64">
        <f>C34*(Módulo1[[#Totals],[Valor]]+Submódulo2.1[[#Totals],[Valor]])</f>
        <v>29.8013888888889</v>
      </c>
    </row>
    <row r="35" spans="1:4">
      <c r="A35" s="56" t="s">
        <v>48</v>
      </c>
      <c r="B35" t="s">
        <v>83</v>
      </c>
      <c r="C35" s="66">
        <f>Servente!G6</f>
        <v>0.03</v>
      </c>
      <c r="D35" s="64">
        <f>C35*(Módulo1[[#Totals],[Valor]]+Submódulo2.1[[#Totals],[Valor]])</f>
        <v>35.7616666666667</v>
      </c>
    </row>
    <row r="36" spans="1:4">
      <c r="A36" s="56" t="s">
        <v>50</v>
      </c>
      <c r="B36" t="s">
        <v>84</v>
      </c>
      <c r="C36" s="66">
        <v>0.015</v>
      </c>
      <c r="D36" s="64">
        <f>C36*(Módulo1[[#Totals],[Valor]]+Submódulo2.1[[#Totals],[Valor]])</f>
        <v>17.8808333333333</v>
      </c>
    </row>
    <row r="37" spans="1:4">
      <c r="A37" s="56" t="s">
        <v>53</v>
      </c>
      <c r="B37" t="s">
        <v>85</v>
      </c>
      <c r="C37" s="66">
        <v>0.01</v>
      </c>
      <c r="D37" s="64">
        <f>C37*(Módulo1[[#Totals],[Valor]]+Submódulo2.1[[#Totals],[Valor]])</f>
        <v>11.9205555555556</v>
      </c>
    </row>
    <row r="38" spans="1:4">
      <c r="A38" s="56" t="s">
        <v>55</v>
      </c>
      <c r="B38" t="s">
        <v>86</v>
      </c>
      <c r="C38" s="66">
        <v>0.006</v>
      </c>
      <c r="D38" s="64">
        <f>C38*(Módulo1[[#Totals],[Valor]]+Submódulo2.1[[#Totals],[Valor]])</f>
        <v>7.15233333333333</v>
      </c>
    </row>
    <row r="39" spans="1:4">
      <c r="A39" s="56" t="s">
        <v>87</v>
      </c>
      <c r="B39" t="s">
        <v>88</v>
      </c>
      <c r="C39" s="66">
        <v>0.002</v>
      </c>
      <c r="D39" s="64">
        <f>C39*(Módulo1[[#Totals],[Valor]]+Submódulo2.1[[#Totals],[Valor]])</f>
        <v>2.38411111111111</v>
      </c>
    </row>
    <row r="40" spans="1:4">
      <c r="A40" s="56" t="s">
        <v>89</v>
      </c>
      <c r="B40" t="s">
        <v>90</v>
      </c>
      <c r="C40" s="66">
        <v>0.08</v>
      </c>
      <c r="D40" s="64">
        <f>C40*(Módulo1[[#Totals],[Valor]]+Submódulo2.1[[#Totals],[Valor]])</f>
        <v>95.3644444444445</v>
      </c>
    </row>
    <row r="41" spans="1:4">
      <c r="A41" s="56" t="s">
        <v>58</v>
      </c>
      <c r="C41" s="73">
        <f>SUBTOTAL(109,Submódulo2.2[Percentual])</f>
        <v>0.368</v>
      </c>
      <c r="D41" s="64">
        <f>SUBTOTAL(109,Submódulo2.2[Valor ])</f>
        <v>438.676444444444</v>
      </c>
    </row>
    <row r="42" spans="1:4">
      <c r="A42" s="56"/>
      <c r="C42" s="73"/>
      <c r="D42" s="64"/>
    </row>
    <row r="43" spans="1:4">
      <c r="A43" s="116" t="s">
        <v>91</v>
      </c>
      <c r="B43" s="116"/>
      <c r="C43" s="116"/>
      <c r="D43" s="116"/>
    </row>
    <row r="44" spans="1:4">
      <c r="A44" s="116" t="s">
        <v>16</v>
      </c>
      <c r="B44" s="116" t="s">
        <v>70</v>
      </c>
      <c r="C44" s="116" t="s">
        <v>71</v>
      </c>
      <c r="D44" s="117" t="s">
        <v>72</v>
      </c>
    </row>
    <row r="45" ht="30" spans="1:4">
      <c r="A45" s="76" t="s">
        <v>92</v>
      </c>
      <c r="B45" s="118" t="s">
        <v>79</v>
      </c>
      <c r="C45" s="118" t="s">
        <v>93</v>
      </c>
      <c r="D45" s="118" t="s">
        <v>94</v>
      </c>
    </row>
    <row r="47" spans="1:4">
      <c r="A47" s="55" t="s">
        <v>95</v>
      </c>
      <c r="B47" s="55"/>
      <c r="C47" s="55"/>
      <c r="D47" s="55"/>
    </row>
    <row r="48" spans="1:4">
      <c r="A48" s="56" t="s">
        <v>96</v>
      </c>
      <c r="B48" s="61" t="s">
        <v>97</v>
      </c>
      <c r="C48" s="56" t="s">
        <v>18</v>
      </c>
      <c r="D48" s="56" t="s">
        <v>19</v>
      </c>
    </row>
    <row r="49" spans="1:4">
      <c r="A49" s="56" t="s">
        <v>42</v>
      </c>
      <c r="B49" t="s">
        <v>98</v>
      </c>
      <c r="D49" s="64">
        <f>IF(G3=0,0,(Servente!G3*2*Servente!G5)-(6%*_1A))</f>
        <v>0</v>
      </c>
    </row>
    <row r="50" spans="1:4">
      <c r="A50" s="56" t="s">
        <v>45</v>
      </c>
      <c r="B50" t="s">
        <v>99</v>
      </c>
      <c r="D50" s="64">
        <f>(Servente!G4*Servente!G5)*80%</f>
        <v>211.2</v>
      </c>
    </row>
    <row r="51" spans="1:4">
      <c r="A51" s="56" t="s">
        <v>48</v>
      </c>
      <c r="B51" t="s">
        <v>100</v>
      </c>
      <c r="D51" s="64"/>
    </row>
    <row r="52" spans="1:4">
      <c r="A52" s="56" t="s">
        <v>50</v>
      </c>
      <c r="B52" t="s">
        <v>56</v>
      </c>
      <c r="D52" s="64"/>
    </row>
    <row r="53" spans="1:4">
      <c r="A53" s="56" t="s">
        <v>58</v>
      </c>
      <c r="D53" s="64">
        <v>211.2</v>
      </c>
    </row>
    <row r="54" spans="1:4">
      <c r="A54" s="56"/>
      <c r="D54" s="64"/>
    </row>
    <row r="55" spans="1:4">
      <c r="A55" s="116" t="s">
        <v>101</v>
      </c>
      <c r="B55" s="116"/>
      <c r="C55" s="116"/>
      <c r="D55" s="116"/>
    </row>
    <row r="56" spans="1:4">
      <c r="A56" s="116" t="s">
        <v>16</v>
      </c>
      <c r="B56" s="116" t="s">
        <v>70</v>
      </c>
      <c r="C56" s="116" t="s">
        <v>71</v>
      </c>
      <c r="D56" s="116" t="s">
        <v>72</v>
      </c>
    </row>
    <row r="57" ht="45" spans="1:4">
      <c r="A57" s="76" t="s">
        <v>42</v>
      </c>
      <c r="B57" s="118" t="s">
        <v>98</v>
      </c>
      <c r="C57" s="119" t="s">
        <v>102</v>
      </c>
      <c r="D57" s="119" t="s">
        <v>103</v>
      </c>
    </row>
    <row r="58" ht="30" spans="1:4">
      <c r="A58" s="76" t="s">
        <v>45</v>
      </c>
      <c r="B58" s="120" t="s">
        <v>99</v>
      </c>
      <c r="C58" s="119" t="s">
        <v>102</v>
      </c>
      <c r="D58" s="119" t="s">
        <v>104</v>
      </c>
    </row>
    <row r="59" ht="19.5" customHeight="1" spans="1:4">
      <c r="A59" s="56"/>
      <c r="D59" s="64"/>
    </row>
    <row r="60" spans="1:4">
      <c r="A60" s="55" t="s">
        <v>105</v>
      </c>
      <c r="B60" s="55"/>
      <c r="C60" s="55"/>
      <c r="D60" s="55"/>
    </row>
    <row r="61" spans="1:4">
      <c r="A61" s="56" t="s">
        <v>106</v>
      </c>
      <c r="B61" s="61" t="s">
        <v>107</v>
      </c>
      <c r="C61" s="56" t="s">
        <v>18</v>
      </c>
      <c r="D61" s="56" t="s">
        <v>19</v>
      </c>
    </row>
    <row r="62" spans="1:4">
      <c r="A62" s="56" t="s">
        <v>65</v>
      </c>
      <c r="B62" t="s">
        <v>66</v>
      </c>
      <c r="C62" s="56"/>
      <c r="D62" s="64">
        <f>Submódulo2.1[[#Totals],[Valor]]</f>
        <v>194.055555555556</v>
      </c>
    </row>
    <row r="63" spans="1:4">
      <c r="A63" s="56" t="s">
        <v>78</v>
      </c>
      <c r="B63" t="s">
        <v>79</v>
      </c>
      <c r="C63" s="56"/>
      <c r="D63" s="64">
        <f>Submódulo2.2[[#Totals],[Valor ]]</f>
        <v>438.676444444444</v>
      </c>
    </row>
    <row r="64" spans="1:4">
      <c r="A64" s="56" t="s">
        <v>96</v>
      </c>
      <c r="B64" t="s">
        <v>97</v>
      </c>
      <c r="C64" s="56"/>
      <c r="D64" s="64">
        <f>Submódulo2.3[[#Totals],[Valor]]</f>
        <v>211.2</v>
      </c>
    </row>
    <row r="65" spans="1:4">
      <c r="A65" s="56" t="s">
        <v>58</v>
      </c>
      <c r="C65" s="56"/>
      <c r="D65" s="64">
        <v>843.932</v>
      </c>
    </row>
    <row r="67" spans="1:4">
      <c r="A67" s="39" t="s">
        <v>108</v>
      </c>
      <c r="B67" s="39"/>
      <c r="C67" s="39"/>
      <c r="D67" s="39"/>
    </row>
    <row r="68" spans="1:4">
      <c r="A68" s="56" t="s">
        <v>109</v>
      </c>
      <c r="B68" s="61" t="s">
        <v>110</v>
      </c>
      <c r="C68" s="56" t="s">
        <v>18</v>
      </c>
      <c r="D68" s="56" t="s">
        <v>19</v>
      </c>
    </row>
    <row r="69" spans="1:4">
      <c r="A69" s="56" t="s">
        <v>42</v>
      </c>
      <c r="B69" t="s">
        <v>111</v>
      </c>
      <c r="D69" s="64">
        <f>((Módulo1[[#Totals],[Valor]]+D62+D64)/12)*Servente!G10</f>
        <v>50.715994537037</v>
      </c>
    </row>
    <row r="70" spans="1:4">
      <c r="A70" s="56" t="s">
        <v>45</v>
      </c>
      <c r="B70" t="s">
        <v>112</v>
      </c>
      <c r="D70" s="64">
        <f>(D40/12)*Servente!G10</f>
        <v>3.44662996296296</v>
      </c>
    </row>
    <row r="71" spans="1:4">
      <c r="A71" s="56" t="s">
        <v>48</v>
      </c>
      <c r="B71" t="s">
        <v>113</v>
      </c>
      <c r="D71" s="64">
        <f>D40*50%*Servente!G10</f>
        <v>20.6797797777778</v>
      </c>
    </row>
    <row r="72" spans="1:4">
      <c r="A72" s="56" t="s">
        <v>50</v>
      </c>
      <c r="B72" t="s">
        <v>114</v>
      </c>
      <c r="D72" s="64">
        <f>((Módulo1[[#Totals],[Valor]]+ResumoMódulo2[[#Totals],[Valor]])/12)*Servente!G11</f>
        <v>66.5704923666667</v>
      </c>
    </row>
    <row r="73" spans="1:4">
      <c r="A73" s="56" t="s">
        <v>53</v>
      </c>
      <c r="B73" t="s">
        <v>115</v>
      </c>
      <c r="D73" s="64">
        <f>D40*50%*Servente!G11</f>
        <v>20.6797797777778</v>
      </c>
    </row>
    <row r="74" spans="1:4">
      <c r="A74" s="56" t="s">
        <v>55</v>
      </c>
      <c r="B74" t="s">
        <v>116</v>
      </c>
      <c r="D74" s="64">
        <f>-D62*Servente!G12</f>
        <v>-4.23041111111111</v>
      </c>
    </row>
    <row r="75" spans="1:4">
      <c r="A75" s="56" t="s">
        <v>58</v>
      </c>
      <c r="D75" s="64">
        <f>SUBTOTAL(109,Módulo3[Valor])</f>
        <v>157.862265311111</v>
      </c>
    </row>
    <row r="76" spans="1:4">
      <c r="A76" s="56"/>
      <c r="D76" s="64"/>
    </row>
    <row r="77" spans="1:4">
      <c r="A77" s="116" t="s">
        <v>117</v>
      </c>
      <c r="B77" s="116"/>
      <c r="C77" s="116"/>
      <c r="D77" s="116"/>
    </row>
    <row r="78" spans="1:4">
      <c r="A78" s="116" t="s">
        <v>16</v>
      </c>
      <c r="B78" s="116" t="s">
        <v>70</v>
      </c>
      <c r="C78" s="116" t="s">
        <v>71</v>
      </c>
      <c r="D78" s="116" t="s">
        <v>72</v>
      </c>
    </row>
    <row r="79" ht="60" spans="1:4">
      <c r="A79" s="76" t="s">
        <v>42</v>
      </c>
      <c r="B79" s="118" t="s">
        <v>111</v>
      </c>
      <c r="C79" s="119" t="s">
        <v>118</v>
      </c>
      <c r="D79" s="119" t="s">
        <v>119</v>
      </c>
    </row>
    <row r="80" ht="60" spans="1:4">
      <c r="A80" s="76" t="s">
        <v>45</v>
      </c>
      <c r="B80" s="120" t="s">
        <v>112</v>
      </c>
      <c r="C80" s="119" t="s">
        <v>120</v>
      </c>
      <c r="D80" s="119" t="s">
        <v>119</v>
      </c>
    </row>
    <row r="81" ht="75" spans="1:4">
      <c r="A81" s="76" t="s">
        <v>48</v>
      </c>
      <c r="B81" s="120" t="s">
        <v>113</v>
      </c>
      <c r="C81" s="119" t="s">
        <v>120</v>
      </c>
      <c r="D81" s="121" t="s">
        <v>121</v>
      </c>
    </row>
    <row r="82" ht="60" spans="1:4">
      <c r="A82" s="76" t="s">
        <v>50</v>
      </c>
      <c r="B82" s="77" t="s">
        <v>114</v>
      </c>
      <c r="C82" s="119" t="s">
        <v>122</v>
      </c>
      <c r="D82" s="121" t="s">
        <v>123</v>
      </c>
    </row>
    <row r="83" ht="75" spans="1:4">
      <c r="A83" s="76" t="s">
        <v>53</v>
      </c>
      <c r="B83" s="77" t="s">
        <v>115</v>
      </c>
      <c r="C83" s="119" t="s">
        <v>120</v>
      </c>
      <c r="D83" s="121" t="s">
        <v>124</v>
      </c>
    </row>
    <row r="84" ht="60" spans="1:4">
      <c r="A84" s="76" t="s">
        <v>55</v>
      </c>
      <c r="B84" s="77" t="s">
        <v>116</v>
      </c>
      <c r="C84" s="119" t="s">
        <v>125</v>
      </c>
      <c r="D84" s="121" t="s">
        <v>126</v>
      </c>
    </row>
    <row r="86" customHeight="1" spans="1:4">
      <c r="A86" s="86" t="s">
        <v>127</v>
      </c>
      <c r="B86" s="86"/>
      <c r="C86" s="86"/>
      <c r="D86" s="86"/>
    </row>
    <row r="87" spans="1:4">
      <c r="A87" s="55" t="s">
        <v>128</v>
      </c>
      <c r="B87" s="55"/>
      <c r="C87" s="55"/>
      <c r="D87" s="55"/>
    </row>
    <row r="88" spans="1:4">
      <c r="A88" s="56" t="s">
        <v>129</v>
      </c>
      <c r="B88" s="61" t="s">
        <v>130</v>
      </c>
      <c r="C88" s="56" t="s">
        <v>131</v>
      </c>
      <c r="D88" s="56" t="s">
        <v>19</v>
      </c>
    </row>
    <row r="89" spans="1:4">
      <c r="A89" s="56" t="s">
        <v>42</v>
      </c>
      <c r="B89" t="s">
        <v>132</v>
      </c>
      <c r="C89" s="56">
        <v>20.71</v>
      </c>
      <c r="D89" s="64">
        <f>(((Módulo1[[#Totals],[Valor]]+ResumoMódulo2[[#Totals],[Valor]]+Módulo3[[#Totals],[Valor]])/30)*C89)/12</f>
        <v>115.043720096092</v>
      </c>
    </row>
    <row r="90" spans="1:4">
      <c r="A90" s="56" t="s">
        <v>45</v>
      </c>
      <c r="B90" t="s">
        <v>133</v>
      </c>
      <c r="C90" s="56">
        <v>1.4181</v>
      </c>
      <c r="D90" s="64">
        <f>(((Módulo1[[#Totals],[Valor]]+ResumoMódulo2[[#Totals],[Valor]]+Módulo3[[#Totals],[Valor]])/30)*C90)/12</f>
        <v>7.87752291010468</v>
      </c>
    </row>
    <row r="91" spans="1:4">
      <c r="A91" s="56" t="s">
        <v>48</v>
      </c>
      <c r="B91" t="s">
        <v>134</v>
      </c>
      <c r="C91" s="56">
        <v>0.1898</v>
      </c>
      <c r="D91" s="64">
        <f>(((Módulo1[[#Totals],[Valor]]+ResumoMódulo2[[#Totals],[Valor]]+Módulo3[[#Totals],[Valor]])/30)*C91)/12</f>
        <v>1.05433597654458</v>
      </c>
    </row>
    <row r="92" spans="1:4">
      <c r="A92" s="56" t="s">
        <v>50</v>
      </c>
      <c r="B92" t="s">
        <v>135</v>
      </c>
      <c r="C92" s="56">
        <v>0.9545</v>
      </c>
      <c r="D92" s="64">
        <f>(((Módulo1[[#Totals],[Valor]]+ResumoMódulo2[[#Totals],[Valor]]+Módulo3[[#Totals],[Valor]])/30)*C92)/12</f>
        <v>5.3022322951096</v>
      </c>
    </row>
    <row r="93" spans="1:4">
      <c r="A93" s="56" t="s">
        <v>53</v>
      </c>
      <c r="B93" t="s">
        <v>136</v>
      </c>
      <c r="C93" s="56">
        <v>2.4723</v>
      </c>
      <c r="D93" s="64">
        <f>(((Módulo1[[#Totals],[Valor]]+ResumoMódulo2[[#Totals],[Valor]]+Módulo3[[#Totals],[Valor]])/30)*C93)/12</f>
        <v>13.7335871170241</v>
      </c>
    </row>
    <row r="94" spans="1:4">
      <c r="A94" s="56" t="s">
        <v>55</v>
      </c>
      <c r="B94" t="s">
        <v>137</v>
      </c>
      <c r="C94" s="56">
        <v>3.4521</v>
      </c>
      <c r="D94" s="64">
        <f>(((Módulo1[[#Totals],[Valor]]+ResumoMódulo2[[#Totals],[Valor]]+Módulo3[[#Totals],[Valor]])/30)*C94)/12</f>
        <v>19.1763605091125</v>
      </c>
    </row>
    <row r="95" spans="1:4">
      <c r="A95" s="56" t="s">
        <v>58</v>
      </c>
      <c r="C95" s="56">
        <f>SUBTOTAL(109,Submódulo4.1[Dias de ausência])</f>
        <v>29.1968</v>
      </c>
      <c r="D95" s="64">
        <f>SUBTOTAL(109,Submódulo4.1[Valor])</f>
        <v>162.187758903987</v>
      </c>
    </row>
    <row r="96" spans="1:4">
      <c r="A96" s="56"/>
      <c r="C96" s="56"/>
      <c r="D96" s="64"/>
    </row>
    <row r="97" spans="1:4">
      <c r="A97" s="116" t="s">
        <v>138</v>
      </c>
      <c r="B97" s="116"/>
      <c r="C97" s="116"/>
      <c r="D97" s="116"/>
    </row>
    <row r="98" spans="1:4">
      <c r="A98" s="116" t="s">
        <v>16</v>
      </c>
      <c r="B98" s="116" t="s">
        <v>70</v>
      </c>
      <c r="C98" s="116" t="s">
        <v>71</v>
      </c>
      <c r="D98" s="116" t="s">
        <v>72</v>
      </c>
    </row>
    <row r="99" spans="1:4">
      <c r="A99" s="76" t="s">
        <v>139</v>
      </c>
      <c r="B99" s="118" t="s">
        <v>140</v>
      </c>
      <c r="C99" s="119"/>
      <c r="D99" s="119"/>
    </row>
    <row r="100" ht="45" spans="1:4">
      <c r="A100" s="76" t="s">
        <v>139</v>
      </c>
      <c r="B100" s="120" t="s">
        <v>141</v>
      </c>
      <c r="C100" s="119" t="s">
        <v>142</v>
      </c>
      <c r="D100" s="119" t="s">
        <v>143</v>
      </c>
    </row>
    <row r="101" spans="1:4">
      <c r="A101" s="56"/>
      <c r="C101" s="56"/>
      <c r="D101" s="64"/>
    </row>
    <row r="102" spans="1:4">
      <c r="A102" s="55" t="s">
        <v>144</v>
      </c>
      <c r="B102" s="55"/>
      <c r="C102" s="55"/>
      <c r="D102" s="55"/>
    </row>
    <row r="103" spans="1:4">
      <c r="A103" s="56" t="s">
        <v>145</v>
      </c>
      <c r="B103" s="61" t="s">
        <v>146</v>
      </c>
      <c r="C103" s="56" t="s">
        <v>18</v>
      </c>
      <c r="D103" s="56" t="s">
        <v>19</v>
      </c>
    </row>
    <row r="104" spans="1:4">
      <c r="A104" s="56" t="s">
        <v>42</v>
      </c>
      <c r="B104" t="s">
        <v>147</v>
      </c>
      <c r="C104" s="56"/>
      <c r="D104" s="64"/>
    </row>
    <row r="105" spans="1:4">
      <c r="A105" s="56" t="s">
        <v>58</v>
      </c>
      <c r="C105" s="56"/>
      <c r="D105" s="64">
        <f>SUBTOTAL(109,Submódulo4.2[Valor])</f>
        <v>0</v>
      </c>
    </row>
    <row r="107" spans="1:4">
      <c r="A107" s="55" t="s">
        <v>148</v>
      </c>
      <c r="B107" s="55"/>
      <c r="C107" s="55"/>
      <c r="D107" s="55"/>
    </row>
    <row r="108" spans="1:4">
      <c r="A108" s="56" t="s">
        <v>149</v>
      </c>
      <c r="B108" s="61" t="s">
        <v>150</v>
      </c>
      <c r="C108" s="56" t="s">
        <v>18</v>
      </c>
      <c r="D108" s="56" t="s">
        <v>19</v>
      </c>
    </row>
    <row r="109" spans="1:4">
      <c r="A109" s="56" t="s">
        <v>129</v>
      </c>
      <c r="B109" t="s">
        <v>130</v>
      </c>
      <c r="D109" s="64">
        <f>Submódulo4.1[[#Totals],[Valor]]</f>
        <v>162.187758903987</v>
      </c>
    </row>
    <row r="110" spans="1:4">
      <c r="A110" s="56" t="s">
        <v>145</v>
      </c>
      <c r="B110" t="s">
        <v>151</v>
      </c>
      <c r="D110" s="64">
        <f>Submódulo4.2[[#Totals],[Valor]]</f>
        <v>0</v>
      </c>
    </row>
    <row r="111" spans="1:4">
      <c r="A111" s="56" t="s">
        <v>58</v>
      </c>
      <c r="D111" s="64">
        <f>SUBTOTAL(109,ResumoMódulo4[Valor])</f>
        <v>162.187758903987</v>
      </c>
    </row>
    <row r="113" spans="1:4">
      <c r="A113" s="39" t="s">
        <v>152</v>
      </c>
      <c r="B113" s="39"/>
      <c r="C113" s="39"/>
      <c r="D113" s="39"/>
    </row>
    <row r="114" spans="1:4">
      <c r="A114" s="56" t="s">
        <v>153</v>
      </c>
      <c r="B114" s="61" t="s">
        <v>154</v>
      </c>
      <c r="C114" s="56" t="s">
        <v>18</v>
      </c>
      <c r="D114" s="56" t="s">
        <v>19</v>
      </c>
    </row>
    <row r="115" spans="1:4">
      <c r="A115" s="56" t="s">
        <v>42</v>
      </c>
      <c r="B115" t="s">
        <v>155</v>
      </c>
      <c r="D115" s="64" t="e">
        <f>#REF!</f>
        <v>#REF!</v>
      </c>
    </row>
    <row r="116" spans="1:4">
      <c r="A116" s="56" t="s">
        <v>45</v>
      </c>
      <c r="B116" t="s">
        <v>156</v>
      </c>
      <c r="D116" s="64" t="e">
        <f>#REF!/#REF!</f>
        <v>#REF!</v>
      </c>
    </row>
    <row r="117" spans="1:4">
      <c r="A117" s="56" t="s">
        <v>48</v>
      </c>
      <c r="B117" t="s">
        <v>157</v>
      </c>
      <c r="D117" s="64" t="e">
        <f>#REF!/#REF!</f>
        <v>#REF!</v>
      </c>
    </row>
    <row r="118" spans="1:4">
      <c r="A118" s="56" t="s">
        <v>50</v>
      </c>
      <c r="B118" t="s">
        <v>158</v>
      </c>
      <c r="D118" s="64"/>
    </row>
    <row r="119" spans="1:4">
      <c r="A119" s="56" t="s">
        <v>58</v>
      </c>
      <c r="D119" s="64" t="e">
        <f>SUBTOTAL(109,Módulo5[Valor])</f>
        <v>#REF!</v>
      </c>
    </row>
    <row r="120" spans="1:4">
      <c r="A120" s="56"/>
      <c r="D120" s="64"/>
    </row>
    <row r="121" spans="1:4">
      <c r="A121" s="116" t="s">
        <v>159</v>
      </c>
      <c r="B121" s="116"/>
      <c r="C121" s="116"/>
      <c r="D121" s="116"/>
    </row>
    <row r="122" spans="1:4">
      <c r="A122" s="116" t="s">
        <v>16</v>
      </c>
      <c r="B122" s="116" t="s">
        <v>70</v>
      </c>
      <c r="C122" s="116" t="s">
        <v>71</v>
      </c>
      <c r="D122" s="116" t="s">
        <v>72</v>
      </c>
    </row>
    <row r="123" spans="1:4">
      <c r="A123" s="76" t="s">
        <v>42</v>
      </c>
      <c r="B123" s="118" t="s">
        <v>155</v>
      </c>
      <c r="C123" s="119" t="s">
        <v>160</v>
      </c>
      <c r="D123" s="119"/>
    </row>
    <row r="124" ht="30" spans="1:4">
      <c r="A124" s="76" t="s">
        <v>45</v>
      </c>
      <c r="B124" s="120" t="s">
        <v>156</v>
      </c>
      <c r="C124" s="119" t="s">
        <v>161</v>
      </c>
      <c r="D124" s="119" t="s">
        <v>162</v>
      </c>
    </row>
    <row r="125" ht="30" spans="1:4">
      <c r="A125" s="76" t="s">
        <v>48</v>
      </c>
      <c r="B125" s="120" t="s">
        <v>157</v>
      </c>
      <c r="C125" s="119" t="s">
        <v>163</v>
      </c>
      <c r="D125" s="119" t="s">
        <v>162</v>
      </c>
    </row>
    <row r="126" spans="1:4">
      <c r="A126" s="76" t="s">
        <v>50</v>
      </c>
      <c r="B126" s="120" t="s">
        <v>158</v>
      </c>
      <c r="C126" s="119"/>
      <c r="D126" s="119"/>
    </row>
    <row r="128" spans="1:4">
      <c r="A128" s="39" t="s">
        <v>164</v>
      </c>
      <c r="B128" s="39"/>
      <c r="C128" s="39"/>
      <c r="D128" s="39"/>
    </row>
    <row r="129" outlineLevel="1" spans="1:4">
      <c r="A129" s="56" t="s">
        <v>165</v>
      </c>
      <c r="B129" t="s">
        <v>166</v>
      </c>
      <c r="C129" s="56" t="s">
        <v>38</v>
      </c>
      <c r="D129" s="56" t="s">
        <v>19</v>
      </c>
    </row>
    <row r="130" outlineLevel="1" spans="1:4">
      <c r="A130" s="56" t="s">
        <v>42</v>
      </c>
      <c r="B130" t="s">
        <v>167</v>
      </c>
      <c r="C130" s="66">
        <f>G16</f>
        <v>0.0471</v>
      </c>
      <c r="D130" s="64" t="e">
        <f>Módulo6[[#This Row],[Percentual]]*(D141+D142+D143+D144+D145)</f>
        <v>#REF!</v>
      </c>
    </row>
    <row r="131" outlineLevel="1" spans="1:4">
      <c r="A131" s="56" t="s">
        <v>45</v>
      </c>
      <c r="B131" t="s">
        <v>59</v>
      </c>
      <c r="C131" s="66">
        <f>G17</f>
        <v>0.0467</v>
      </c>
      <c r="D131" s="64" t="e">
        <f>(SUM(D141:D145)+D130)*Módulo6[[#This Row],[Percentual]]</f>
        <v>#REF!</v>
      </c>
    </row>
    <row r="132" spans="1:4">
      <c r="A132" s="56" t="s">
        <v>48</v>
      </c>
      <c r="B132" t="s">
        <v>168</v>
      </c>
      <c r="C132" s="66">
        <f>SUM(C133:C135)</f>
        <v>0.1425</v>
      </c>
      <c r="D132" s="64" t="e">
        <f>Módulo6[[#This Row],[Percentual]]*D148</f>
        <v>#REF!</v>
      </c>
    </row>
    <row r="133" spans="1:4">
      <c r="A133" s="56" t="s">
        <v>169</v>
      </c>
      <c r="B133" t="s">
        <v>60</v>
      </c>
      <c r="C133" s="66">
        <f>G18</f>
        <v>0.0165</v>
      </c>
      <c r="D133" s="64" t="e">
        <f>Módulo6[[#This Row],[Percentual]]*D148</f>
        <v>#REF!</v>
      </c>
    </row>
    <row r="134" spans="1:4">
      <c r="A134" s="56" t="s">
        <v>170</v>
      </c>
      <c r="B134" t="s">
        <v>62</v>
      </c>
      <c r="C134" s="66">
        <f>G19</f>
        <v>0.076</v>
      </c>
      <c r="D134" s="64" t="e">
        <f>Módulo6[[#This Row],[Percentual]]*D148</f>
        <v>#REF!</v>
      </c>
    </row>
    <row r="135" spans="1:4">
      <c r="A135" s="56" t="s">
        <v>171</v>
      </c>
      <c r="B135" t="s">
        <v>64</v>
      </c>
      <c r="C135" s="66">
        <f>G20</f>
        <v>0.05</v>
      </c>
      <c r="D135" s="64" t="e">
        <f>Módulo6[[#This Row],[Percentual]]*D148</f>
        <v>#REF!</v>
      </c>
    </row>
    <row r="136" spans="1:4">
      <c r="A136" s="56" t="s">
        <v>58</v>
      </c>
      <c r="C136" s="103"/>
      <c r="D136" s="64" t="e">
        <f>SUM(D130:D132)</f>
        <v>#REF!</v>
      </c>
    </row>
    <row r="137" spans="1:4">
      <c r="A137" s="56"/>
      <c r="C137" s="103"/>
      <c r="D137" s="64"/>
    </row>
    <row r="139" spans="1:4">
      <c r="A139" s="39" t="s">
        <v>172</v>
      </c>
      <c r="B139" s="39"/>
      <c r="C139" s="39"/>
      <c r="D139" s="39"/>
    </row>
    <row r="140" spans="1:4">
      <c r="A140" s="56" t="s">
        <v>16</v>
      </c>
      <c r="B140" s="56" t="s">
        <v>173</v>
      </c>
      <c r="C140" s="56" t="s">
        <v>102</v>
      </c>
      <c r="D140" s="56" t="s">
        <v>19</v>
      </c>
    </row>
    <row r="141" spans="1:4">
      <c r="A141" s="56" t="s">
        <v>42</v>
      </c>
      <c r="B141" t="s">
        <v>36</v>
      </c>
      <c r="D141" s="64">
        <f>Módulo1[[#Totals],[Valor]]</f>
        <v>998</v>
      </c>
    </row>
    <row r="142" spans="1:4">
      <c r="A142" s="56" t="s">
        <v>45</v>
      </c>
      <c r="B142" t="s">
        <v>61</v>
      </c>
      <c r="D142" s="64">
        <f>ResumoMódulo2[[#Totals],[Valor]]</f>
        <v>843.932</v>
      </c>
    </row>
    <row r="143" spans="1:4">
      <c r="A143" s="56" t="s">
        <v>48</v>
      </c>
      <c r="B143" t="s">
        <v>108</v>
      </c>
      <c r="D143" s="64">
        <f>Módulo3[[#Totals],[Valor]]</f>
        <v>157.862265311111</v>
      </c>
    </row>
    <row r="144" spans="1:4">
      <c r="A144" s="56" t="s">
        <v>50</v>
      </c>
      <c r="B144" t="s">
        <v>174</v>
      </c>
      <c r="D144" s="64">
        <f>ResumoMódulo4[[#Totals],[Valor]]</f>
        <v>162.187758903987</v>
      </c>
    </row>
    <row r="145" spans="1:4">
      <c r="A145" s="56" t="s">
        <v>53</v>
      </c>
      <c r="B145" t="s">
        <v>152</v>
      </c>
      <c r="D145" s="64" t="e">
        <f>Módulo5[[#Totals],[Valor]]</f>
        <v>#REF!</v>
      </c>
    </row>
    <row r="146" spans="1:4">
      <c r="A146" t="s">
        <v>175</v>
      </c>
      <c r="D146" s="64" t="e">
        <f>SUM(D141:D145)</f>
        <v>#REF!</v>
      </c>
    </row>
    <row r="147" spans="1:4">
      <c r="A147" s="56" t="s">
        <v>55</v>
      </c>
      <c r="B147" t="s">
        <v>164</v>
      </c>
      <c r="D147" s="64" t="e">
        <f>Módulo6[[#Totals],[Valor]]</f>
        <v>#REF!</v>
      </c>
    </row>
    <row r="148" spans="1:4">
      <c r="A148" s="105" t="s">
        <v>176</v>
      </c>
      <c r="B148" s="105"/>
      <c r="C148" s="105"/>
      <c r="D148" s="12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126" workbookViewId="0">
      <selection activeCell="A1" sqref="A1:D149"/>
    </sheetView>
  </sheetViews>
  <sheetFormatPr defaultColWidth="9.14285714285714" defaultRowHeight="15" outlineLevelCol="6"/>
  <cols>
    <col min="1" max="1" width="10.5714285714286" customWidth="1"/>
    <col min="2" max="2" width="62.4285714285714" customWidth="1"/>
    <col min="3" max="3" width="20.2857142857143" customWidth="1"/>
    <col min="4" max="4" width="28.5714285714286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194</v>
      </c>
      <c r="B13" s="51"/>
      <c r="C13" s="45" t="s">
        <v>195</v>
      </c>
      <c r="D13" s="52">
        <f>RESUMO!D3</f>
        <v>4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Tradutor-Intérprete de Libras</v>
      </c>
    </row>
    <row r="18" spans="1:4">
      <c r="A18" s="56">
        <v>2</v>
      </c>
      <c r="B18" t="s">
        <v>23</v>
      </c>
      <c r="C18" s="57" t="s">
        <v>196</v>
      </c>
      <c r="D18" s="57" t="s">
        <v>197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TRUNC(((22*4.35)*2)-((D25/100)*6),2)</f>
        <v>36.87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373.67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373.67</v>
      </c>
    </row>
    <row r="72" spans="1:4">
      <c r="A72" s="56" t="s">
        <v>58</v>
      </c>
      <c r="C72" s="56"/>
      <c r="D72" s="64">
        <f>TRUNC((SUM(D69:D71)),2)</f>
        <v>2098.69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2098.69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4834.54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78.33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26.85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1.34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16.11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5.37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128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128</v>
      </c>
    </row>
    <row r="108" spans="1:4">
      <c r="A108" s="56" t="s">
        <v>145</v>
      </c>
      <c r="B108" t="s">
        <v>151</v>
      </c>
      <c r="C108" s="61"/>
      <c r="D108" s="93"/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128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155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108">
        <v>0</v>
      </c>
    </row>
    <row r="118" spans="1:4">
      <c r="A118" s="56" t="s">
        <v>58</v>
      </c>
      <c r="D118" s="64">
        <f>SUBTOTAL(109,Módulo562_5811614[Valor])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2098.69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221</v>
      </c>
      <c r="D123" s="70">
        <f>D109</f>
        <v>128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5049.91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204.01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183.88</v>
      </c>
      <c r="F130" s="99" t="s">
        <v>225</v>
      </c>
      <c r="G130" s="100">
        <f>TRUNC(SUM(D125,D129,D130),2)</f>
        <v>5437.8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514.9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3">TRUNC(($G$132*C132),2)</f>
        <v>38.69</v>
      </c>
      <c r="F132" s="99" t="s">
        <v>223</v>
      </c>
      <c r="G132" s="100">
        <f>TRUNC((G130/G131),2)</f>
        <v>5952.7</v>
      </c>
    </row>
    <row r="133" ht="15.75" spans="1:4">
      <c r="A133" s="56"/>
      <c r="B133" t="s">
        <v>228</v>
      </c>
      <c r="C133" s="74">
        <v>0.03</v>
      </c>
      <c r="D133" s="58">
        <f t="shared" si="3"/>
        <v>178.58</v>
      </c>
    </row>
    <row r="134" spans="1:4">
      <c r="A134" s="56"/>
      <c r="B134" t="s">
        <v>229</v>
      </c>
      <c r="C134" s="74">
        <v>0.05</v>
      </c>
      <c r="D134" s="58">
        <f t="shared" si="3"/>
        <v>297.63</v>
      </c>
    </row>
    <row r="135" spans="1:4">
      <c r="A135" s="56" t="s">
        <v>58</v>
      </c>
      <c r="B135" s="102"/>
      <c r="C135" s="103"/>
      <c r="D135" s="64">
        <f>SUM(D129:D131)</f>
        <v>902.79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2098.69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128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5049.91</v>
      </c>
    </row>
    <row r="146" spans="1:4">
      <c r="A146" s="56" t="s">
        <v>55</v>
      </c>
      <c r="B146" t="s">
        <v>164</v>
      </c>
      <c r="D146" s="64">
        <f>D135</f>
        <v>902.79</v>
      </c>
    </row>
    <row r="147" spans="1:4">
      <c r="A147" s="105"/>
      <c r="B147" s="106" t="s">
        <v>230</v>
      </c>
      <c r="C147" s="105"/>
      <c r="D147" s="107">
        <f>TRUNC((SUM(D140:D144)+D146),2)</f>
        <v>5952.7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A14" sqref="A14:B14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spans="1:4">
      <c r="A13" s="51" t="s">
        <v>231</v>
      </c>
      <c r="B13" s="51"/>
      <c r="C13" s="45" t="s">
        <v>195</v>
      </c>
      <c r="D13" s="52">
        <f>RESUMO!D4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Transcritor de Sistema Braille</v>
      </c>
    </row>
    <row r="18" spans="1:4">
      <c r="A18" s="56">
        <v>2</v>
      </c>
      <c r="B18" t="s">
        <v>23</v>
      </c>
      <c r="C18" s="57" t="s">
        <v>196</v>
      </c>
      <c r="D18" s="57" t="s">
        <v>232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233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TRUNC(((22*4.35)*2)-((D25/100)*6),2)</f>
        <v>92.11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428.91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428.91</v>
      </c>
    </row>
    <row r="72" spans="1:4">
      <c r="A72" s="56" t="s">
        <v>58</v>
      </c>
      <c r="C72" s="56"/>
      <c r="D72" s="64">
        <f>TRUNC((SUM(D69:D71)),2)</f>
        <v>1537.3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>TRUNC(($D$31*C78),2)</f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>TRUNC(($D$31*C79),2)</f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1537.3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3295.2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>TRUNC(($D$87*C92),2)</f>
        <v>53.39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ref="D92:D96" si="1">TRUNC(($D$87*C93),2)</f>
        <v>18.3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1"/>
        <v>0.91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1"/>
        <v>10.98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1"/>
        <v>3.66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87.24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87.24</v>
      </c>
    </row>
    <row r="108" spans="1:4">
      <c r="A108" s="56" t="s">
        <v>145</v>
      </c>
      <c r="B108" t="s">
        <v>151</v>
      </c>
      <c r="C108" s="61"/>
      <c r="D108" s="93" t="str">
        <f>Submódulo4.260_55107[[#Totals],[Valor]]</f>
        <v>*=TRUNCAR(($D$86/220)*(1*(365/12))/2)</v>
      </c>
    </row>
    <row r="109" ht="75" spans="1:4">
      <c r="A109" s="76" t="s">
        <v>58</v>
      </c>
      <c r="B109" s="77"/>
      <c r="C109" s="89" t="s">
        <v>217</v>
      </c>
      <c r="D109" s="94">
        <f>TRUNC((SUM(D107:D108)),2)</f>
        <v>87.24</v>
      </c>
    </row>
    <row r="111" spans="1:4">
      <c r="A111" s="39" t="s">
        <v>152</v>
      </c>
      <c r="B111" s="39"/>
      <c r="C111" s="39"/>
      <c r="D111" s="39"/>
    </row>
    <row r="112" ht="37" customHeight="1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234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58">
        <v>0</v>
      </c>
    </row>
    <row r="118" spans="1:4">
      <c r="A118" s="56" t="s">
        <v>58</v>
      </c>
      <c r="D118" s="64">
        <f>SUBTOTAL(109,Módulo562_58116[Valor])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1537.3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221</v>
      </c>
      <c r="D123" s="70">
        <f>D109</f>
        <v>87.24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3469.81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140.18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126.34</v>
      </c>
      <c r="F130" s="99" t="s">
        <v>225</v>
      </c>
      <c r="G130" s="100">
        <f>TRUNC(SUM(D125,D129,D130),2)</f>
        <v>3736.33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353.78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2">TRUNC(($G$132*C132),2)</f>
        <v>26.58</v>
      </c>
      <c r="F132" s="99" t="s">
        <v>223</v>
      </c>
      <c r="G132" s="100">
        <f>TRUNC((G130/G131),2)</f>
        <v>4090.12</v>
      </c>
    </row>
    <row r="133" ht="15.75" spans="1:4">
      <c r="A133" s="56"/>
      <c r="B133" t="s">
        <v>228</v>
      </c>
      <c r="C133" s="74">
        <v>0.03</v>
      </c>
      <c r="D133" s="58">
        <f t="shared" si="2"/>
        <v>122.7</v>
      </c>
    </row>
    <row r="134" spans="1:4">
      <c r="A134" s="56"/>
      <c r="B134" t="s">
        <v>229</v>
      </c>
      <c r="C134" s="74">
        <v>0.05</v>
      </c>
      <c r="D134" s="58">
        <f t="shared" si="2"/>
        <v>204.5</v>
      </c>
    </row>
    <row r="135" spans="1:4">
      <c r="A135" s="56" t="s">
        <v>58</v>
      </c>
      <c r="B135" s="102"/>
      <c r="C135" s="103"/>
      <c r="D135" s="64">
        <f>SUM(D129:D131)</f>
        <v>620.3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1537.3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87.24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3469.81</v>
      </c>
    </row>
    <row r="146" spans="1:4">
      <c r="A146" s="56" t="s">
        <v>55</v>
      </c>
      <c r="B146" t="s">
        <v>164</v>
      </c>
      <c r="D146" s="64">
        <f>D135</f>
        <v>620.3</v>
      </c>
    </row>
    <row r="147" spans="1:4">
      <c r="A147" s="105"/>
      <c r="B147" s="106" t="s">
        <v>230</v>
      </c>
      <c r="C147" s="105"/>
      <c r="D147" s="107">
        <f>TRUNC((SUM(D140:D144)+D146),2)</f>
        <v>4090.11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I15" sqref="I1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235</v>
      </c>
      <c r="B13" s="51"/>
      <c r="C13" s="45" t="s">
        <v>195</v>
      </c>
      <c r="D13" s="52">
        <f>RESUMO!D5</f>
        <v>2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Cuidador</v>
      </c>
    </row>
    <row r="18" spans="1:4">
      <c r="A18" s="56">
        <v>2</v>
      </c>
      <c r="B18" t="s">
        <v>23</v>
      </c>
      <c r="C18" s="57" t="s">
        <v>196</v>
      </c>
      <c r="D18" s="57" t="s">
        <v>236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1654.8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233</v>
      </c>
      <c r="D25" s="58">
        <f>D19</f>
        <v>1654.8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1654.8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137.9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183.86</v>
      </c>
      <c r="F38" s="67"/>
      <c r="G38" s="67"/>
    </row>
    <row r="39" spans="1:7">
      <c r="A39" s="56" t="s">
        <v>58</v>
      </c>
      <c r="D39" s="64">
        <f>TRUNC((SUM(D37:D38)),2)</f>
        <v>321.76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1654.8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321.76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1976.56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395.31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49.41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118.59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29.64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19.76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11.85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3.95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158.12</v>
      </c>
    </row>
    <row r="55" spans="1:4">
      <c r="A55" s="56" t="s">
        <v>58</v>
      </c>
      <c r="C55" s="73">
        <f>SUM(C47:C54)</f>
        <v>0.398</v>
      </c>
      <c r="D55" s="64">
        <f>TRUNC(SUM(D47:D54),2)</f>
        <v>786.63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TRUNC(((22*4.35)*2)-((D25/100)*6),2)</f>
        <v>92.11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428.91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321.76</v>
      </c>
    </row>
    <row r="70" spans="1:4">
      <c r="A70" s="56" t="s">
        <v>78</v>
      </c>
      <c r="B70" t="s">
        <v>79</v>
      </c>
      <c r="C70" s="56"/>
      <c r="D70" s="64">
        <f>D55</f>
        <v>786.63</v>
      </c>
    </row>
    <row r="71" spans="1:4">
      <c r="A71" s="56" t="s">
        <v>96</v>
      </c>
      <c r="B71" t="s">
        <v>97</v>
      </c>
      <c r="C71" s="56"/>
      <c r="D71" s="64">
        <f>D65</f>
        <v>428.91</v>
      </c>
    </row>
    <row r="72" spans="1:4">
      <c r="A72" s="56" t="s">
        <v>58</v>
      </c>
      <c r="C72" s="56"/>
      <c r="D72" s="64">
        <f>TRUNC((SUM(D69:D71)),2)</f>
        <v>1537.3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6.89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0.55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2.64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30.56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12.16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50.3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103.1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1654.8</v>
      </c>
    </row>
    <row r="85" ht="16.5" spans="1:4">
      <c r="A85" s="68"/>
      <c r="B85" s="68"/>
      <c r="C85" s="71" t="s">
        <v>211</v>
      </c>
      <c r="D85" s="70">
        <f>D72</f>
        <v>1537.3</v>
      </c>
    </row>
    <row r="86" ht="16.5" spans="1:4">
      <c r="A86" s="68"/>
      <c r="B86" s="68"/>
      <c r="C86" s="69" t="s">
        <v>212</v>
      </c>
      <c r="D86" s="70">
        <f>D82</f>
        <v>103.1</v>
      </c>
    </row>
    <row r="87" ht="16.5" spans="1:4">
      <c r="A87" s="68"/>
      <c r="B87" s="68"/>
      <c r="C87" s="71" t="s">
        <v>204</v>
      </c>
      <c r="D87" s="72">
        <f>TRUNC((SUM(D84:D86)),2)</f>
        <v>3295.2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53.39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18.3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0.91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10.98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3.66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87.24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87.24</v>
      </c>
    </row>
    <row r="108" spans="1:4">
      <c r="A108" s="56" t="s">
        <v>145</v>
      </c>
      <c r="B108" t="s">
        <v>151</v>
      </c>
      <c r="C108" s="61"/>
      <c r="D108" s="93" t="str">
        <f>Submódulo4.260_5510744[[#Totals],[Valor]]</f>
        <v>*=TRUNCAR(($D$86/220)*(1*(365/12))/2)</v>
      </c>
    </row>
    <row r="109" ht="90" spans="1:4">
      <c r="A109" s="76" t="s">
        <v>58</v>
      </c>
      <c r="B109" s="77"/>
      <c r="C109" s="89" t="s">
        <v>217</v>
      </c>
      <c r="D109" s="94">
        <f>TRUNC((SUM(D107:D108)),2)</f>
        <v>87.24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155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58">
        <v>0</v>
      </c>
    </row>
    <row r="118" spans="1:4">
      <c r="A118" s="56" t="s">
        <v>58</v>
      </c>
      <c r="D118" s="64">
        <f>SUBTOTAL(109,Módulo562_5811641[Valor])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1654.8</v>
      </c>
    </row>
    <row r="121" ht="16.5" spans="1:4">
      <c r="A121" s="68"/>
      <c r="B121" s="68"/>
      <c r="C121" s="71" t="s">
        <v>211</v>
      </c>
      <c r="D121" s="70">
        <f>D72</f>
        <v>1537.3</v>
      </c>
    </row>
    <row r="122" ht="16.5" spans="1:4">
      <c r="A122" s="68"/>
      <c r="B122" s="68"/>
      <c r="C122" s="69" t="s">
        <v>212</v>
      </c>
      <c r="D122" s="70">
        <f>D82</f>
        <v>103.1</v>
      </c>
    </row>
    <row r="123" ht="16.5" spans="1:4">
      <c r="A123" s="68"/>
      <c r="B123" s="68"/>
      <c r="C123" s="71" t="s">
        <v>221</v>
      </c>
      <c r="D123" s="70">
        <f>D109</f>
        <v>87.24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3469.81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140.18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126.34</v>
      </c>
      <c r="F130" s="99" t="s">
        <v>225</v>
      </c>
      <c r="G130" s="100">
        <f>TRUNC(SUM(D125,D129,D130),2)</f>
        <v>3736.33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353.78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3">TRUNC(($G$132*C132),2)</f>
        <v>26.58</v>
      </c>
      <c r="F132" s="99" t="s">
        <v>223</v>
      </c>
      <c r="G132" s="100">
        <f>TRUNC((G130/G131),2)</f>
        <v>4090.12</v>
      </c>
    </row>
    <row r="133" ht="15.75" spans="1:4">
      <c r="A133" s="56"/>
      <c r="B133" t="s">
        <v>228</v>
      </c>
      <c r="C133" s="74">
        <v>0.03</v>
      </c>
      <c r="D133" s="58">
        <f t="shared" si="3"/>
        <v>122.7</v>
      </c>
    </row>
    <row r="134" spans="1:4">
      <c r="A134" s="56"/>
      <c r="B134" t="s">
        <v>229</v>
      </c>
      <c r="C134" s="74">
        <v>0.05</v>
      </c>
      <c r="D134" s="58">
        <f t="shared" si="3"/>
        <v>204.5</v>
      </c>
    </row>
    <row r="135" spans="1:4">
      <c r="A135" s="56" t="s">
        <v>58</v>
      </c>
      <c r="B135" s="102"/>
      <c r="C135" s="103"/>
      <c r="D135" s="64">
        <f>SUM(D129:D131)</f>
        <v>620.3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1654.8</v>
      </c>
    </row>
    <row r="141" spans="1:4">
      <c r="A141" s="56" t="s">
        <v>45</v>
      </c>
      <c r="B141" t="s">
        <v>61</v>
      </c>
      <c r="D141" s="64">
        <f>D72</f>
        <v>1537.3</v>
      </c>
    </row>
    <row r="142" spans="1:4">
      <c r="A142" s="56" t="s">
        <v>48</v>
      </c>
      <c r="B142" t="s">
        <v>108</v>
      </c>
      <c r="D142" s="64">
        <f>D82</f>
        <v>103.1</v>
      </c>
    </row>
    <row r="143" spans="1:4">
      <c r="A143" s="56" t="s">
        <v>50</v>
      </c>
      <c r="B143" t="s">
        <v>174</v>
      </c>
      <c r="D143" s="64">
        <f>D109</f>
        <v>87.24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3469.81</v>
      </c>
    </row>
    <row r="146" spans="1:4">
      <c r="A146" s="56" t="s">
        <v>55</v>
      </c>
      <c r="B146" t="s">
        <v>164</v>
      </c>
      <c r="D146" s="64">
        <f>D135</f>
        <v>620.3</v>
      </c>
    </row>
    <row r="147" spans="1:4">
      <c r="A147" s="105"/>
      <c r="B147" s="106" t="s">
        <v>230</v>
      </c>
      <c r="C147" s="105"/>
      <c r="D147" s="107">
        <f>TRUNC((SUM(D140:D144)+D146),2)</f>
        <v>4090.11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D148" sqref="A1:D148"/>
    </sheetView>
  </sheetViews>
  <sheetFormatPr defaultColWidth="9.14285714285714" defaultRowHeight="15" outlineLevelCol="6"/>
  <cols>
    <col min="1" max="1" width="10.5714285714286" customWidth="1"/>
    <col min="2" max="2" width="56.2857142857143" customWidth="1"/>
    <col min="3" max="3" width="20.2857142857143" customWidth="1"/>
    <col min="4" max="4" width="32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237</v>
      </c>
      <c r="B13" s="51"/>
      <c r="C13" s="45" t="s">
        <v>195</v>
      </c>
      <c r="D13" s="52">
        <f>RESUMO!D6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Audiodescritor</v>
      </c>
    </row>
    <row r="18" spans="1:4">
      <c r="A18" s="56">
        <v>2</v>
      </c>
      <c r="B18" t="s">
        <v>23</v>
      </c>
      <c r="C18" s="57" t="s">
        <v>196</v>
      </c>
      <c r="D18" s="57" t="s">
        <v>238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TRUNC(((22*4.35)*2)-((D25/100)*6),2)</f>
        <v>36.87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373.67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373.67</v>
      </c>
    </row>
    <row r="72" spans="1:4">
      <c r="A72" s="56" t="s">
        <v>58</v>
      </c>
      <c r="C72" s="56"/>
      <c r="D72" s="64">
        <f>TRUNC((SUM(D69:D71)),2)</f>
        <v>2098.69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2098.69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4834.54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78.33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26.85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1.34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16.11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5.37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128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128</v>
      </c>
    </row>
    <row r="108" spans="1:4">
      <c r="A108" s="56" t="s">
        <v>145</v>
      </c>
      <c r="B108" t="s">
        <v>151</v>
      </c>
      <c r="C108" s="61"/>
      <c r="D108" s="93" t="str">
        <f>Submódulo4.260_5510757[[#Totals],[Valor]]</f>
        <v>*=TRUNCAR(($D$86/220)*(1*(365/12))/2)</v>
      </c>
    </row>
    <row r="109" ht="90" spans="1:4">
      <c r="A109" s="76" t="s">
        <v>58</v>
      </c>
      <c r="B109" s="77"/>
      <c r="C109" s="89" t="s">
        <v>217</v>
      </c>
      <c r="D109" s="94">
        <f>TRUNC((SUM(D107:D108)),2)</f>
        <v>128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239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58">
        <v>0</v>
      </c>
    </row>
    <row r="118" spans="1:4">
      <c r="A118" s="56" t="s">
        <v>58</v>
      </c>
      <c r="D118" s="64">
        <f>SUBTOTAL(109,Módulo562_5811654[Valor])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2098.69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221</v>
      </c>
      <c r="D123" s="70">
        <f>D109</f>
        <v>128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5049.91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204.01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183.88</v>
      </c>
      <c r="F130" s="99" t="s">
        <v>225</v>
      </c>
      <c r="G130" s="100">
        <f>TRUNC(SUM(D125,D129,D130),2)</f>
        <v>5437.8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514.9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3">TRUNC(($G$132*C132),2)</f>
        <v>38.69</v>
      </c>
      <c r="F132" s="99" t="s">
        <v>223</v>
      </c>
      <c r="G132" s="100">
        <f>TRUNC((G130/G131),2)</f>
        <v>5952.7</v>
      </c>
    </row>
    <row r="133" ht="15.75" spans="1:4">
      <c r="A133" s="56"/>
      <c r="B133" t="s">
        <v>228</v>
      </c>
      <c r="C133" s="74">
        <v>0.03</v>
      </c>
      <c r="D133" s="58">
        <f t="shared" si="3"/>
        <v>178.58</v>
      </c>
    </row>
    <row r="134" spans="1:4">
      <c r="A134" s="56"/>
      <c r="B134" t="s">
        <v>229</v>
      </c>
      <c r="C134" s="74">
        <v>0.05</v>
      </c>
      <c r="D134" s="58">
        <f t="shared" si="3"/>
        <v>297.63</v>
      </c>
    </row>
    <row r="135" spans="1:4">
      <c r="A135" s="56" t="s">
        <v>58</v>
      </c>
      <c r="B135" s="102"/>
      <c r="C135" s="103"/>
      <c r="D135" s="64">
        <f>SUM(D129:D131)</f>
        <v>902.79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2098.69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128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5049.91</v>
      </c>
    </row>
    <row r="146" spans="1:4">
      <c r="A146" s="56" t="s">
        <v>55</v>
      </c>
      <c r="B146" t="s">
        <v>164</v>
      </c>
      <c r="D146" s="64">
        <f>D135</f>
        <v>902.79</v>
      </c>
    </row>
    <row r="147" spans="1:4">
      <c r="A147" s="105"/>
      <c r="B147" s="106" t="s">
        <v>230</v>
      </c>
      <c r="C147" s="105"/>
      <c r="D147" s="107">
        <f>TRUNC((SUM(D140:D144)+D146),2)</f>
        <v>5952.7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workbookViewId="0">
      <selection activeCell="H15" sqref="H15"/>
    </sheetView>
  </sheetViews>
  <sheetFormatPr defaultColWidth="9.14285714285714" defaultRowHeight="15" outlineLevelCol="6"/>
  <cols>
    <col min="1" max="1" width="10.5714285714286" customWidth="1"/>
    <col min="2" max="2" width="58.1428571428571" customWidth="1"/>
    <col min="3" max="3" width="21.4285714285714" customWidth="1"/>
    <col min="4" max="4" width="33.85714285714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240</v>
      </c>
      <c r="B13" s="51"/>
      <c r="C13" s="45" t="s">
        <v>195</v>
      </c>
      <c r="D13" s="52">
        <f>RESUMO!D7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Alfabetizador de Joves e Adultos</v>
      </c>
    </row>
    <row r="18" spans="1:4">
      <c r="A18" s="56">
        <v>2</v>
      </c>
      <c r="B18" t="s">
        <v>23</v>
      </c>
      <c r="C18" s="57" t="s">
        <v>196</v>
      </c>
      <c r="D18" s="57" t="s">
        <v>241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f>D19</f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TRUNC(((22*4.35)*2)-((D25/100)*6),2)</f>
        <v>36.87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373.67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373.67</v>
      </c>
    </row>
    <row r="72" spans="1:4">
      <c r="A72" s="56" t="s">
        <v>58</v>
      </c>
      <c r="C72" s="56"/>
      <c r="D72" s="64">
        <f>TRUNC((SUM(D69:D71)),2)</f>
        <v>2098.69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2098.69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4834.54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78.33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26.85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1.34</v>
      </c>
    </row>
    <row r="95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16.11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5.37</v>
      </c>
    </row>
    <row r="97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128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20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128</v>
      </c>
    </row>
    <row r="108" spans="1:4">
      <c r="A108" s="56" t="s">
        <v>145</v>
      </c>
      <c r="B108" t="s">
        <v>151</v>
      </c>
      <c r="C108" s="61"/>
      <c r="D108" s="93" t="str">
        <f>Submódulo4.260_5510771[[#Totals],[Valor]]</f>
        <v>*=TRUNCAR(($D$86/220)*(1*(365/12))/2)</v>
      </c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128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239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58">
        <v>0</v>
      </c>
    </row>
    <row r="118" spans="1:4">
      <c r="A118" s="56" t="s">
        <v>58</v>
      </c>
      <c r="D118" s="64">
        <f>SUBTOTAL(109,Módulo562_5811668[Valor])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2098.69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221</v>
      </c>
      <c r="D123" s="70">
        <f>D109</f>
        <v>128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5049.91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204.01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183.88</v>
      </c>
      <c r="F130" s="99" t="s">
        <v>225</v>
      </c>
      <c r="G130" s="100">
        <f>TRUNC(SUM(D125,D129,D130),2)</f>
        <v>5437.8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514.9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3">TRUNC(($G$132*C132),2)</f>
        <v>38.69</v>
      </c>
      <c r="F132" s="99" t="s">
        <v>223</v>
      </c>
      <c r="G132" s="100">
        <f>TRUNC((G130/G131),2)</f>
        <v>5952.7</v>
      </c>
    </row>
    <row r="133" ht="15.75" spans="1:4">
      <c r="A133" s="56"/>
      <c r="B133" t="s">
        <v>228</v>
      </c>
      <c r="C133" s="74">
        <v>0.03</v>
      </c>
      <c r="D133" s="58">
        <f t="shared" si="3"/>
        <v>178.58</v>
      </c>
    </row>
    <row r="134" spans="1:4">
      <c r="A134" s="56"/>
      <c r="B134" t="s">
        <v>229</v>
      </c>
      <c r="C134" s="74">
        <v>0.05</v>
      </c>
      <c r="D134" s="58">
        <f t="shared" si="3"/>
        <v>297.63</v>
      </c>
    </row>
    <row r="135" spans="1:4">
      <c r="A135" s="56" t="s">
        <v>58</v>
      </c>
      <c r="B135" s="102"/>
      <c r="C135" s="103"/>
      <c r="D135" s="64">
        <f>SUM(D129:D131)</f>
        <v>902.79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2098.69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128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5049.91</v>
      </c>
    </row>
    <row r="146" spans="1:4">
      <c r="A146" s="56" t="s">
        <v>55</v>
      </c>
      <c r="B146" t="s">
        <v>164</v>
      </c>
      <c r="D146" s="64">
        <f>D135</f>
        <v>902.79</v>
      </c>
    </row>
    <row r="147" spans="1:4">
      <c r="A147" s="105"/>
      <c r="B147" s="106" t="s">
        <v>230</v>
      </c>
      <c r="C147" s="105"/>
      <c r="D147" s="107">
        <f>TRUNC((SUM(D140:D144)+D146),2)</f>
        <v>5952.7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132" workbookViewId="0">
      <selection activeCell="D155" sqref="D155"/>
    </sheetView>
  </sheetViews>
  <sheetFormatPr defaultColWidth="9.14285714285714" defaultRowHeight="15" outlineLevelCol="6"/>
  <cols>
    <col min="1" max="1" width="10.5714285714286" customWidth="1"/>
    <col min="2" max="2" width="44.4285714285714" customWidth="1"/>
    <col min="3" max="3" width="23.4285714285714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32" t="s">
        <v>177</v>
      </c>
      <c r="B2" s="32"/>
      <c r="C2" s="32"/>
      <c r="D2" s="32"/>
    </row>
    <row r="3" ht="15.75" spans="1:4">
      <c r="A3" s="33" t="s">
        <v>178</v>
      </c>
      <c r="B3" s="33"/>
      <c r="C3" s="33"/>
      <c r="D3" s="33"/>
    </row>
    <row r="4" spans="1:4">
      <c r="A4" s="34" t="s">
        <v>179</v>
      </c>
      <c r="B4" s="35" t="s">
        <v>180</v>
      </c>
      <c r="C4" s="36"/>
      <c r="D4" s="36"/>
    </row>
    <row r="5" spans="1:4">
      <c r="A5" s="37"/>
      <c r="B5" s="38"/>
      <c r="C5" s="38"/>
      <c r="D5" s="38"/>
    </row>
    <row r="6" ht="15.75" spans="1:4">
      <c r="A6" s="39" t="s">
        <v>181</v>
      </c>
      <c r="B6" s="39"/>
      <c r="C6" s="39"/>
      <c r="D6" s="39"/>
    </row>
    <row r="7" ht="15.75" spans="1:4">
      <c r="A7" s="40" t="s">
        <v>42</v>
      </c>
      <c r="B7" s="41" t="s">
        <v>182</v>
      </c>
      <c r="C7" s="42" t="s">
        <v>183</v>
      </c>
      <c r="D7" s="42"/>
    </row>
    <row r="8" spans="1:4">
      <c r="A8" s="43" t="s">
        <v>45</v>
      </c>
      <c r="B8" s="44" t="s">
        <v>184</v>
      </c>
      <c r="C8" s="45" t="s">
        <v>185</v>
      </c>
      <c r="D8" s="45"/>
    </row>
    <row r="9" spans="1:4">
      <c r="A9" s="46" t="s">
        <v>48</v>
      </c>
      <c r="B9" s="47" t="s">
        <v>186</v>
      </c>
      <c r="C9" s="45" t="s">
        <v>187</v>
      </c>
      <c r="D9" s="45"/>
    </row>
    <row r="10" spans="1:4">
      <c r="A10" s="43" t="s">
        <v>53</v>
      </c>
      <c r="B10" s="44" t="s">
        <v>188</v>
      </c>
      <c r="C10" s="45" t="s">
        <v>189</v>
      </c>
      <c r="D10" s="45"/>
    </row>
    <row r="11" ht="15.75" spans="1:4">
      <c r="A11" s="48" t="s">
        <v>190</v>
      </c>
      <c r="B11" s="48"/>
      <c r="C11" s="48"/>
      <c r="D11" s="48"/>
    </row>
    <row r="12" ht="16.5" spans="1:4">
      <c r="A12" s="49" t="s">
        <v>191</v>
      </c>
      <c r="B12" s="49"/>
      <c r="C12" s="48" t="s">
        <v>192</v>
      </c>
      <c r="D12" s="50" t="s">
        <v>193</v>
      </c>
    </row>
    <row r="13" ht="15.75" spans="1:4">
      <c r="A13" s="51" t="s">
        <v>242</v>
      </c>
      <c r="B13" s="51"/>
      <c r="C13" s="45" t="s">
        <v>195</v>
      </c>
      <c r="D13" s="52">
        <f>RESUMO!D8</f>
        <v>1</v>
      </c>
    </row>
    <row r="14" spans="1:4">
      <c r="A14" s="53"/>
      <c r="B14" s="53"/>
      <c r="C14" s="45"/>
      <c r="D14" s="54"/>
    </row>
    <row r="15" ht="15.75" spans="1:7">
      <c r="A15" s="48" t="s">
        <v>14</v>
      </c>
      <c r="B15" s="48"/>
      <c r="C15" s="48"/>
      <c r="D15" s="48"/>
      <c r="F15" s="55"/>
      <c r="G15" s="55"/>
    </row>
    <row r="16" ht="15.75" spans="1:4">
      <c r="A16" s="56" t="s">
        <v>16</v>
      </c>
      <c r="B16" t="s">
        <v>17</v>
      </c>
      <c r="C16" s="56" t="s">
        <v>18</v>
      </c>
      <c r="D16" s="56" t="s">
        <v>19</v>
      </c>
    </row>
    <row r="17" spans="1:4">
      <c r="A17" s="56">
        <v>1</v>
      </c>
      <c r="B17" t="s">
        <v>20</v>
      </c>
      <c r="C17" s="57" t="s">
        <v>102</v>
      </c>
      <c r="D17" s="57" t="str">
        <f>A13</f>
        <v>Psicopedagogo Educacional</v>
      </c>
    </row>
    <row r="18" spans="1:4">
      <c r="A18" s="56">
        <v>2</v>
      </c>
      <c r="B18" t="s">
        <v>23</v>
      </c>
      <c r="C18" s="57" t="s">
        <v>196</v>
      </c>
      <c r="D18" s="57" t="s">
        <v>243</v>
      </c>
    </row>
    <row r="19" spans="1:4">
      <c r="A19" s="56">
        <v>3</v>
      </c>
      <c r="B19" t="s">
        <v>26</v>
      </c>
      <c r="C19" s="57" t="str">
        <f>C9</f>
        <v>CCT PB000047/2021</v>
      </c>
      <c r="D19" s="58">
        <v>2575.36</v>
      </c>
    </row>
    <row r="20" spans="1:4">
      <c r="A20" s="56">
        <v>4</v>
      </c>
      <c r="B20" t="s">
        <v>29</v>
      </c>
      <c r="C20" s="57" t="str">
        <f>C9</f>
        <v>CCT PB000047/2021</v>
      </c>
      <c r="D20" s="59" t="s">
        <v>198</v>
      </c>
    </row>
    <row r="21" spans="1:4">
      <c r="A21" s="56">
        <v>5</v>
      </c>
      <c r="B21" t="s">
        <v>33</v>
      </c>
      <c r="C21" s="57" t="str">
        <f>C9</f>
        <v>CCT PB000047/2021</v>
      </c>
      <c r="D21" s="60" t="s">
        <v>199</v>
      </c>
    </row>
    <row r="22" spans="6:7">
      <c r="F22" s="55"/>
      <c r="G22" s="55"/>
    </row>
    <row r="23" spans="1:4">
      <c r="A23" s="39" t="s">
        <v>36</v>
      </c>
      <c r="B23" s="39"/>
      <c r="C23" s="39"/>
      <c r="D23" s="39"/>
    </row>
    <row r="24" spans="1:7">
      <c r="A24" s="56" t="s">
        <v>39</v>
      </c>
      <c r="B24" s="61" t="s">
        <v>40</v>
      </c>
      <c r="C24" s="56" t="s">
        <v>18</v>
      </c>
      <c r="D24" s="56" t="s">
        <v>19</v>
      </c>
      <c r="G24" s="62"/>
    </row>
    <row r="25" spans="1:7">
      <c r="A25" s="56" t="s">
        <v>42</v>
      </c>
      <c r="B25" t="s">
        <v>43</v>
      </c>
      <c r="C25" s="63" t="s">
        <v>200</v>
      </c>
      <c r="D25" s="58">
        <v>2575.36</v>
      </c>
      <c r="G25" s="62"/>
    </row>
    <row r="26" spans="1:7">
      <c r="A26" s="56" t="s">
        <v>45</v>
      </c>
      <c r="B26" t="s">
        <v>46</v>
      </c>
      <c r="C26" s="59"/>
      <c r="D26" s="58">
        <v>0</v>
      </c>
      <c r="G26" s="62"/>
    </row>
    <row r="27" spans="1:4">
      <c r="A27" s="56" t="s">
        <v>48</v>
      </c>
      <c r="B27" t="s">
        <v>49</v>
      </c>
      <c r="C27" s="59"/>
      <c r="D27" s="58">
        <v>0</v>
      </c>
    </row>
    <row r="28" spans="1:4">
      <c r="A28" s="56" t="s">
        <v>50</v>
      </c>
      <c r="B28" t="s">
        <v>51</v>
      </c>
      <c r="C28" s="59"/>
      <c r="D28" s="58">
        <v>0</v>
      </c>
    </row>
    <row r="29" spans="1:4">
      <c r="A29" s="56" t="s">
        <v>53</v>
      </c>
      <c r="B29" t="s">
        <v>54</v>
      </c>
      <c r="C29" s="59"/>
      <c r="D29" s="58">
        <v>0</v>
      </c>
    </row>
    <row r="30" spans="1:4">
      <c r="A30" s="56" t="s">
        <v>55</v>
      </c>
      <c r="B30" t="s">
        <v>56</v>
      </c>
      <c r="C30" s="59"/>
      <c r="D30" s="58">
        <v>0</v>
      </c>
    </row>
    <row r="31" spans="1:7">
      <c r="A31" s="56" t="s">
        <v>58</v>
      </c>
      <c r="C31" s="56"/>
      <c r="D31" s="64">
        <f>TRUNC((SUM(D25:D30)),2)</f>
        <v>2575.36</v>
      </c>
      <c r="F31" s="55"/>
      <c r="G31" s="55"/>
    </row>
    <row r="33" spans="1:7">
      <c r="A33" s="65" t="s">
        <v>61</v>
      </c>
      <c r="B33" s="65"/>
      <c r="C33" s="65"/>
      <c r="D33" s="65"/>
      <c r="G33" s="62"/>
    </row>
    <row r="35" spans="1:4">
      <c r="A35" s="55" t="s">
        <v>63</v>
      </c>
      <c r="B35" s="55"/>
      <c r="C35" s="55"/>
      <c r="D35" s="55"/>
    </row>
    <row r="36" spans="1:4">
      <c r="A36" s="56" t="s">
        <v>65</v>
      </c>
      <c r="B36" s="61" t="s">
        <v>66</v>
      </c>
      <c r="C36" s="56" t="s">
        <v>38</v>
      </c>
      <c r="D36" s="56" t="s">
        <v>19</v>
      </c>
    </row>
    <row r="37" spans="1:7">
      <c r="A37" s="56" t="s">
        <v>42</v>
      </c>
      <c r="B37" t="s">
        <v>67</v>
      </c>
      <c r="C37" s="66">
        <f>(1/12)</f>
        <v>0.0833333333333333</v>
      </c>
      <c r="D37" s="64">
        <f>TRUNC($D$31*C37,2)</f>
        <v>214.61</v>
      </c>
      <c r="F37" s="67"/>
      <c r="G37" s="67"/>
    </row>
    <row r="38" spans="1:7">
      <c r="A38" s="56" t="s">
        <v>45</v>
      </c>
      <c r="B38" t="s">
        <v>68</v>
      </c>
      <c r="C38" s="66">
        <f>(((1+1/3)/12))</f>
        <v>0.111111111111111</v>
      </c>
      <c r="D38" s="64">
        <f>TRUNC($D$31*C38,2)</f>
        <v>286.15</v>
      </c>
      <c r="F38" s="67"/>
      <c r="G38" s="67"/>
    </row>
    <row r="39" spans="1:7">
      <c r="A39" s="56" t="s">
        <v>58</v>
      </c>
      <c r="D39" s="64">
        <f>TRUNC((SUM(D37:D38)),2)</f>
        <v>500.76</v>
      </c>
      <c r="F39" s="67"/>
      <c r="G39" s="67"/>
    </row>
    <row r="40" ht="15.75" spans="4:7">
      <c r="D40" s="64"/>
      <c r="F40" s="67"/>
      <c r="G40" s="67"/>
    </row>
    <row r="41" ht="16.5" spans="1:7">
      <c r="A41" s="68" t="s">
        <v>201</v>
      </c>
      <c r="B41" s="68"/>
      <c r="C41" s="69" t="s">
        <v>202</v>
      </c>
      <c r="D41" s="70">
        <f>D31</f>
        <v>2575.36</v>
      </c>
      <c r="F41" s="67"/>
      <c r="G41" s="67"/>
    </row>
    <row r="42" ht="16.5" spans="1:7">
      <c r="A42" s="68"/>
      <c r="B42" s="68"/>
      <c r="C42" s="71" t="s">
        <v>203</v>
      </c>
      <c r="D42" s="70">
        <f>D39</f>
        <v>500.76</v>
      </c>
      <c r="F42" s="67"/>
      <c r="G42" s="67"/>
    </row>
    <row r="43" ht="16.5" spans="1:7">
      <c r="A43" s="68"/>
      <c r="B43" s="68"/>
      <c r="C43" s="69" t="s">
        <v>204</v>
      </c>
      <c r="D43" s="72">
        <f>TRUNC((SUM(D41:D42)),2)</f>
        <v>3076.12</v>
      </c>
      <c r="F43" s="67"/>
      <c r="G43" s="67"/>
    </row>
    <row r="44" ht="15.75" spans="1:7">
      <c r="A44" s="56"/>
      <c r="C44" s="73"/>
      <c r="D44" s="64"/>
      <c r="F44" s="67"/>
      <c r="G44" s="67"/>
    </row>
    <row r="45" spans="1:4">
      <c r="A45" s="55" t="s">
        <v>77</v>
      </c>
      <c r="B45" s="55"/>
      <c r="C45" s="55"/>
      <c r="D45" s="55"/>
    </row>
    <row r="46" spans="1:4">
      <c r="A46" s="56" t="s">
        <v>78</v>
      </c>
      <c r="B46" s="61" t="s">
        <v>79</v>
      </c>
      <c r="C46" s="56" t="s">
        <v>38</v>
      </c>
      <c r="D46" s="56" t="s">
        <v>80</v>
      </c>
    </row>
    <row r="47" spans="1:4">
      <c r="A47" s="56" t="s">
        <v>42</v>
      </c>
      <c r="B47" t="s">
        <v>81</v>
      </c>
      <c r="C47" s="66">
        <v>0.2</v>
      </c>
      <c r="D47" s="64">
        <f t="shared" ref="D47:D54" si="0">TRUNC(($D$43*C47),2)</f>
        <v>615.22</v>
      </c>
    </row>
    <row r="48" spans="1:4">
      <c r="A48" s="56" t="s">
        <v>45</v>
      </c>
      <c r="B48" t="s">
        <v>82</v>
      </c>
      <c r="C48" s="66">
        <v>0.025</v>
      </c>
      <c r="D48" s="64">
        <f t="shared" si="0"/>
        <v>76.9</v>
      </c>
    </row>
    <row r="49" spans="1:4">
      <c r="A49" s="56" t="s">
        <v>48</v>
      </c>
      <c r="B49" t="s">
        <v>205</v>
      </c>
      <c r="C49" s="74">
        <v>0.06</v>
      </c>
      <c r="D49" s="58">
        <f t="shared" si="0"/>
        <v>184.56</v>
      </c>
    </row>
    <row r="50" spans="1:4">
      <c r="A50" s="56" t="s">
        <v>50</v>
      </c>
      <c r="B50" t="s">
        <v>84</v>
      </c>
      <c r="C50" s="66">
        <v>0.015</v>
      </c>
      <c r="D50" s="64">
        <f t="shared" si="0"/>
        <v>46.14</v>
      </c>
    </row>
    <row r="51" spans="1:4">
      <c r="A51" s="56" t="s">
        <v>53</v>
      </c>
      <c r="B51" t="s">
        <v>85</v>
      </c>
      <c r="C51" s="66">
        <v>0.01</v>
      </c>
      <c r="D51" s="64">
        <f t="shared" si="0"/>
        <v>30.76</v>
      </c>
    </row>
    <row r="52" spans="1:4">
      <c r="A52" s="56" t="s">
        <v>55</v>
      </c>
      <c r="B52" t="s">
        <v>86</v>
      </c>
      <c r="C52" s="66">
        <v>0.006</v>
      </c>
      <c r="D52" s="64">
        <f t="shared" si="0"/>
        <v>18.45</v>
      </c>
    </row>
    <row r="53" spans="1:4">
      <c r="A53" s="56" t="s">
        <v>87</v>
      </c>
      <c r="B53" t="s">
        <v>88</v>
      </c>
      <c r="C53" s="66">
        <v>0.002</v>
      </c>
      <c r="D53" s="64">
        <f t="shared" si="0"/>
        <v>6.15</v>
      </c>
    </row>
    <row r="54" spans="1:4">
      <c r="A54" s="56" t="s">
        <v>89</v>
      </c>
      <c r="B54" t="s">
        <v>90</v>
      </c>
      <c r="C54" s="66">
        <v>0.08</v>
      </c>
      <c r="D54" s="64">
        <f t="shared" si="0"/>
        <v>246.08</v>
      </c>
    </row>
    <row r="55" spans="1:4">
      <c r="A55" s="56" t="s">
        <v>58</v>
      </c>
      <c r="C55" s="73">
        <f>SUM(C47:C54)</f>
        <v>0.398</v>
      </c>
      <c r="D55" s="64">
        <f>TRUNC(SUM(D47:D54),2)</f>
        <v>1224.26</v>
      </c>
    </row>
    <row r="56" spans="1:4">
      <c r="A56" s="56"/>
      <c r="C56" s="73"/>
      <c r="D56" s="64"/>
    </row>
    <row r="57" spans="1:4">
      <c r="A57" s="55" t="s">
        <v>95</v>
      </c>
      <c r="B57" s="55"/>
      <c r="C57" s="55"/>
      <c r="D57" s="55"/>
    </row>
    <row r="58" spans="1:4">
      <c r="A58" s="56" t="s">
        <v>96</v>
      </c>
      <c r="B58" s="61" t="s">
        <v>97</v>
      </c>
      <c r="C58" s="56" t="s">
        <v>18</v>
      </c>
      <c r="D58" s="56" t="s">
        <v>19</v>
      </c>
    </row>
    <row r="59" spans="1:4">
      <c r="A59" s="56" t="s">
        <v>42</v>
      </c>
      <c r="B59" t="s">
        <v>98</v>
      </c>
      <c r="C59" s="57"/>
      <c r="D59" s="75">
        <f>TRUNC(((22*4.35)*2)-((D25/100)*6),2)</f>
        <v>36.87</v>
      </c>
    </row>
    <row r="60" spans="1:4">
      <c r="A60" s="56" t="s">
        <v>45</v>
      </c>
      <c r="B60" t="s">
        <v>99</v>
      </c>
      <c r="C60" s="57" t="str">
        <f>C9</f>
        <v>CCT PB000047/2021</v>
      </c>
      <c r="D60" s="58">
        <f>TRUNC((((22*18))-(((22*18))*0.2)),2)</f>
        <v>316.8</v>
      </c>
    </row>
    <row r="61" spans="1:4">
      <c r="A61" s="56" t="s">
        <v>48</v>
      </c>
      <c r="B61" t="s">
        <v>100</v>
      </c>
      <c r="C61" s="57"/>
      <c r="D61" s="58">
        <v>0</v>
      </c>
    </row>
    <row r="62" spans="1:6">
      <c r="A62" s="76" t="s">
        <v>50</v>
      </c>
      <c r="B62" s="77" t="s">
        <v>206</v>
      </c>
      <c r="C62" s="78"/>
      <c r="D62" s="78">
        <v>0</v>
      </c>
      <c r="F62" s="77"/>
    </row>
    <row r="63" spans="1:4">
      <c r="A63" s="56" t="s">
        <v>53</v>
      </c>
      <c r="B63" s="61" t="s">
        <v>207</v>
      </c>
      <c r="C63" s="57" t="str">
        <f>C60</f>
        <v>CCT PB000047/2021</v>
      </c>
      <c r="D63" s="58">
        <v>15</v>
      </c>
    </row>
    <row r="64" spans="1:4">
      <c r="A64" s="56" t="s">
        <v>55</v>
      </c>
      <c r="B64" s="79" t="s">
        <v>208</v>
      </c>
      <c r="C64" s="78" t="str">
        <f>C60</f>
        <v>CCT PB000047/2021</v>
      </c>
      <c r="D64" s="58">
        <v>5</v>
      </c>
    </row>
    <row r="65" spans="1:4">
      <c r="A65" s="56" t="s">
        <v>58</v>
      </c>
      <c r="D65" s="64">
        <f>TRUNC((SUM(D59:D64)),2)</f>
        <v>373.67</v>
      </c>
    </row>
    <row r="66" spans="1:4">
      <c r="A66" s="56"/>
      <c r="D66" s="64"/>
    </row>
    <row r="67" spans="1:4">
      <c r="A67" s="55" t="s">
        <v>105</v>
      </c>
      <c r="B67" s="55"/>
      <c r="C67" s="55"/>
      <c r="D67" s="55"/>
    </row>
    <row r="68" spans="1:4">
      <c r="A68" s="56" t="s">
        <v>106</v>
      </c>
      <c r="B68" s="61" t="s">
        <v>107</v>
      </c>
      <c r="C68" s="56" t="s">
        <v>18</v>
      </c>
      <c r="D68" s="56" t="s">
        <v>19</v>
      </c>
    </row>
    <row r="69" spans="1:4">
      <c r="A69" s="56" t="s">
        <v>65</v>
      </c>
      <c r="B69" t="s">
        <v>66</v>
      </c>
      <c r="C69" s="56"/>
      <c r="D69" s="64">
        <f>D39</f>
        <v>500.76</v>
      </c>
    </row>
    <row r="70" spans="1:4">
      <c r="A70" s="56" t="s">
        <v>78</v>
      </c>
      <c r="B70" t="s">
        <v>79</v>
      </c>
      <c r="C70" s="56"/>
      <c r="D70" s="64">
        <f>D55</f>
        <v>1224.26</v>
      </c>
    </row>
    <row r="71" spans="1:4">
      <c r="A71" s="56" t="s">
        <v>96</v>
      </c>
      <c r="B71" t="s">
        <v>97</v>
      </c>
      <c r="C71" s="56"/>
      <c r="D71" s="64">
        <f>D65</f>
        <v>373.67</v>
      </c>
    </row>
    <row r="72" spans="1:4">
      <c r="A72" s="56" t="s">
        <v>58</v>
      </c>
      <c r="C72" s="56"/>
      <c r="D72" s="64">
        <f>TRUNC((SUM(D69:D71)),2)</f>
        <v>2098.69</v>
      </c>
    </row>
    <row r="74" spans="1:4">
      <c r="A74" s="39" t="s">
        <v>108</v>
      </c>
      <c r="B74" s="39"/>
      <c r="C74" s="39"/>
      <c r="D74" s="39"/>
    </row>
    <row r="75" spans="1:4">
      <c r="A75" s="56" t="s">
        <v>109</v>
      </c>
      <c r="B75" s="61" t="s">
        <v>110</v>
      </c>
      <c r="C75" s="56" t="s">
        <v>38</v>
      </c>
      <c r="D75" s="56" t="s">
        <v>19</v>
      </c>
    </row>
    <row r="76" spans="1:4">
      <c r="A76" s="56" t="s">
        <v>42</v>
      </c>
      <c r="B76" t="s">
        <v>111</v>
      </c>
      <c r="C76" s="74">
        <f>((1/12)*5%)</f>
        <v>0.00416666666666667</v>
      </c>
      <c r="D76" s="58">
        <f t="shared" ref="D76:D79" si="1">TRUNC(($D$31*C76),2)</f>
        <v>10.73</v>
      </c>
    </row>
    <row r="77" spans="1:4">
      <c r="A77" s="56" t="s">
        <v>45</v>
      </c>
      <c r="B77" t="s">
        <v>112</v>
      </c>
      <c r="C77" s="80">
        <v>0.08</v>
      </c>
      <c r="D77" s="64">
        <f>TRUNC(($D$76*C77),2)</f>
        <v>0.85</v>
      </c>
    </row>
    <row r="78" ht="30" spans="1:4">
      <c r="A78" s="56" t="s">
        <v>48</v>
      </c>
      <c r="B78" s="81" t="s">
        <v>113</v>
      </c>
      <c r="C78" s="82">
        <f>(0.08*0.4*0.05)</f>
        <v>0.0016</v>
      </c>
      <c r="D78" s="78">
        <f t="shared" si="1"/>
        <v>4.12</v>
      </c>
    </row>
    <row r="79" spans="1:4">
      <c r="A79" s="56" t="s">
        <v>50</v>
      </c>
      <c r="B79" t="s">
        <v>114</v>
      </c>
      <c r="C79" s="83">
        <f>(((7/30)/12)*0.95)</f>
        <v>0.0184722222222222</v>
      </c>
      <c r="D79" s="84">
        <f t="shared" si="1"/>
        <v>47.57</v>
      </c>
    </row>
    <row r="80" ht="30" spans="1:4">
      <c r="A80" s="56" t="s">
        <v>53</v>
      </c>
      <c r="B80" s="81" t="s">
        <v>209</v>
      </c>
      <c r="C80" s="82">
        <f>C55</f>
        <v>0.398</v>
      </c>
      <c r="D80" s="78">
        <f>TRUNC(($D$79*C80),2)</f>
        <v>18.93</v>
      </c>
    </row>
    <row r="81" ht="30" spans="1:4">
      <c r="A81" s="56" t="s">
        <v>55</v>
      </c>
      <c r="B81" s="81" t="s">
        <v>115</v>
      </c>
      <c r="C81" s="83">
        <f>(0.08*0.4*0.95)</f>
        <v>0.0304</v>
      </c>
      <c r="D81" s="85">
        <f>TRUNC(($D$31*C81),2)</f>
        <v>78.29</v>
      </c>
    </row>
    <row r="82" spans="1:4">
      <c r="A82" s="56" t="s">
        <v>58</v>
      </c>
      <c r="C82" s="80">
        <f>SUM(C76:C81)</f>
        <v>0.532638888888889</v>
      </c>
      <c r="D82" s="64">
        <f>TRUNC((SUM(D76:D81)),2)</f>
        <v>160.49</v>
      </c>
    </row>
    <row r="83" ht="15.75" spans="1:4">
      <c r="A83" s="56"/>
      <c r="D83" s="64"/>
    </row>
    <row r="84" ht="16.5" spans="1:4">
      <c r="A84" s="68" t="s">
        <v>210</v>
      </c>
      <c r="B84" s="68"/>
      <c r="C84" s="69" t="s">
        <v>202</v>
      </c>
      <c r="D84" s="70">
        <f>D31</f>
        <v>2575.36</v>
      </c>
    </row>
    <row r="85" ht="16.5" spans="1:4">
      <c r="A85" s="68"/>
      <c r="B85" s="68"/>
      <c r="C85" s="71" t="s">
        <v>211</v>
      </c>
      <c r="D85" s="70">
        <f>D72</f>
        <v>2098.69</v>
      </c>
    </row>
    <row r="86" ht="16.5" spans="1:4">
      <c r="A86" s="68"/>
      <c r="B86" s="68"/>
      <c r="C86" s="69" t="s">
        <v>212</v>
      </c>
      <c r="D86" s="70">
        <f>D82</f>
        <v>160.49</v>
      </c>
    </row>
    <row r="87" ht="16.5" spans="1:4">
      <c r="A87" s="68"/>
      <c r="B87" s="68"/>
      <c r="C87" s="71" t="s">
        <v>204</v>
      </c>
      <c r="D87" s="72">
        <f>TRUNC((SUM(D84:D86)),2)</f>
        <v>4834.54</v>
      </c>
    </row>
    <row r="88" ht="15.75" spans="1:4">
      <c r="A88" s="56"/>
      <c r="D88" s="64"/>
    </row>
    <row r="89" spans="1:4">
      <c r="A89" s="86" t="s">
        <v>127</v>
      </c>
      <c r="B89" s="86"/>
      <c r="C89" s="86"/>
      <c r="D89" s="86"/>
    </row>
    <row r="90" spans="1:4">
      <c r="A90" s="55" t="s">
        <v>128</v>
      </c>
      <c r="B90" s="55"/>
      <c r="C90" s="55"/>
      <c r="D90" s="55"/>
    </row>
    <row r="91" spans="1:4">
      <c r="A91" s="56" t="s">
        <v>129</v>
      </c>
      <c r="B91" s="61" t="s">
        <v>130</v>
      </c>
      <c r="C91" s="56" t="s">
        <v>38</v>
      </c>
      <c r="D91" s="56" t="s">
        <v>19</v>
      </c>
    </row>
    <row r="92" spans="1:4">
      <c r="A92" s="56" t="s">
        <v>42</v>
      </c>
      <c r="B92" t="s">
        <v>213</v>
      </c>
      <c r="C92" s="80">
        <f>(((1+1/3)/12)/12)+((1/12)/12)</f>
        <v>0.0162037037037037</v>
      </c>
      <c r="D92" s="64">
        <f t="shared" ref="D92:D96" si="2">TRUNC(($D$87*C92),2)</f>
        <v>78.33</v>
      </c>
    </row>
    <row r="93" spans="1:4">
      <c r="A93" s="56" t="s">
        <v>45</v>
      </c>
      <c r="B93" t="s">
        <v>133</v>
      </c>
      <c r="C93" s="74">
        <f>((2/30)/12)</f>
        <v>0.00555555555555556</v>
      </c>
      <c r="D93" s="78">
        <f t="shared" si="2"/>
        <v>26.85</v>
      </c>
    </row>
    <row r="94" spans="1:4">
      <c r="A94" s="56" t="s">
        <v>48</v>
      </c>
      <c r="B94" t="s">
        <v>134</v>
      </c>
      <c r="C94" s="74">
        <f>((5/30)/12)*0.02</f>
        <v>0.000277777777777778</v>
      </c>
      <c r="D94" s="78">
        <f t="shared" si="2"/>
        <v>1.34</v>
      </c>
    </row>
    <row r="95" ht="30" spans="1:4">
      <c r="A95" s="76" t="s">
        <v>50</v>
      </c>
      <c r="B95" s="81" t="s">
        <v>135</v>
      </c>
      <c r="C95" s="82">
        <f>((15/30)/12)*0.08</f>
        <v>0.00333333333333333</v>
      </c>
      <c r="D95" s="78">
        <f t="shared" si="2"/>
        <v>16.11</v>
      </c>
    </row>
    <row r="96" spans="1:4">
      <c r="A96" s="56" t="s">
        <v>53</v>
      </c>
      <c r="B96" t="s">
        <v>136</v>
      </c>
      <c r="C96" s="74">
        <f>((1+1/3)/12)*0.03*((4/12))</f>
        <v>0.00111111111111111</v>
      </c>
      <c r="D96" s="78">
        <f t="shared" si="2"/>
        <v>5.37</v>
      </c>
    </row>
    <row r="97" ht="30" spans="1:4">
      <c r="A97" s="56" t="s">
        <v>55</v>
      </c>
      <c r="B97" s="81" t="s">
        <v>214</v>
      </c>
      <c r="C97" s="87">
        <v>0</v>
      </c>
      <c r="D97" s="78">
        <f>TRUNC($D$87*C97)</f>
        <v>0</v>
      </c>
    </row>
    <row r="98" spans="1:4">
      <c r="A98" s="56" t="s">
        <v>58</v>
      </c>
      <c r="C98" s="80">
        <f>SUM(C92:C97)</f>
        <v>0.0264814814814815</v>
      </c>
      <c r="D98" s="64">
        <f>TRUNC((SUM(D92:D97)),2)</f>
        <v>128</v>
      </c>
    </row>
    <row r="99" spans="1:4">
      <c r="A99" s="56"/>
      <c r="C99" s="56"/>
      <c r="D99" s="64"/>
    </row>
    <row r="100" spans="1:4">
      <c r="A100" s="55" t="s">
        <v>144</v>
      </c>
      <c r="B100" s="55"/>
      <c r="C100" s="55"/>
      <c r="D100" s="55"/>
    </row>
    <row r="101" spans="1:4">
      <c r="A101" s="56" t="s">
        <v>145</v>
      </c>
      <c r="B101" s="61" t="s">
        <v>146</v>
      </c>
      <c r="C101" s="56" t="s">
        <v>18</v>
      </c>
      <c r="D101" s="56" t="s">
        <v>19</v>
      </c>
    </row>
    <row r="102" ht="105" spans="1:4">
      <c r="A102" s="76" t="s">
        <v>42</v>
      </c>
      <c r="B102" s="88" t="s">
        <v>147</v>
      </c>
      <c r="C102" s="89" t="s">
        <v>215</v>
      </c>
      <c r="D102" s="90" t="s">
        <v>216</v>
      </c>
    </row>
    <row r="103" spans="1:4">
      <c r="A103" s="56" t="s">
        <v>58</v>
      </c>
      <c r="C103" s="91"/>
      <c r="D103" s="92" t="str">
        <f>D102</f>
        <v>*=TRUNCAR(($D$86/220)*(1*(365/12))/2)</v>
      </c>
    </row>
    <row r="105" spans="1:4">
      <c r="A105" s="55" t="s">
        <v>148</v>
      </c>
      <c r="B105" s="55"/>
      <c r="C105" s="55"/>
      <c r="D105" s="55"/>
    </row>
    <row r="106" spans="1:4">
      <c r="A106" s="56" t="s">
        <v>149</v>
      </c>
      <c r="B106" s="61" t="s">
        <v>150</v>
      </c>
      <c r="C106" s="56" t="s">
        <v>18</v>
      </c>
      <c r="D106" s="56" t="s">
        <v>19</v>
      </c>
    </row>
    <row r="107" spans="1:4">
      <c r="A107" s="56" t="s">
        <v>129</v>
      </c>
      <c r="B107" t="s">
        <v>130</v>
      </c>
      <c r="D107" s="58">
        <f>D98</f>
        <v>128</v>
      </c>
    </row>
    <row r="108" spans="1:4">
      <c r="A108" s="56" t="s">
        <v>145</v>
      </c>
      <c r="B108" t="s">
        <v>151</v>
      </c>
      <c r="C108" s="61"/>
      <c r="D108" s="93" t="str">
        <f>Submódulo4.260_5510784[[#Totals],[Valor]]</f>
        <v>*=TRUNCAR(($D$86/220)*(1*(365/12))/2)</v>
      </c>
    </row>
    <row r="109" ht="75" spans="1:4">
      <c r="A109" s="76" t="s">
        <v>58</v>
      </c>
      <c r="B109" s="77"/>
      <c r="C109" s="89" t="s">
        <v>217</v>
      </c>
      <c r="D109" s="94">
        <f>TRUNC((SUM(D107:D108)),2)</f>
        <v>128</v>
      </c>
    </row>
    <row r="111" spans="1:4">
      <c r="A111" s="39" t="s">
        <v>152</v>
      </c>
      <c r="B111" s="39"/>
      <c r="C111" s="39"/>
      <c r="D111" s="39"/>
    </row>
    <row r="112" spans="1:4">
      <c r="A112" s="76" t="s">
        <v>153</v>
      </c>
      <c r="B112" s="77" t="s">
        <v>154</v>
      </c>
      <c r="C112" s="76" t="s">
        <v>18</v>
      </c>
      <c r="D112" s="76" t="s">
        <v>19</v>
      </c>
    </row>
    <row r="113" spans="1:4">
      <c r="A113" s="56" t="s">
        <v>42</v>
      </c>
      <c r="B113" t="s">
        <v>239</v>
      </c>
      <c r="D113" s="95">
        <f>Uniformes!G12</f>
        <v>87.37</v>
      </c>
    </row>
    <row r="114" spans="1:4">
      <c r="A114" s="56" t="s">
        <v>45</v>
      </c>
      <c r="B114" t="s">
        <v>218</v>
      </c>
      <c r="D114" s="58">
        <v>0</v>
      </c>
    </row>
    <row r="115" spans="1:4">
      <c r="A115" s="56" t="s">
        <v>48</v>
      </c>
      <c r="B115" t="s">
        <v>156</v>
      </c>
      <c r="D115" s="58">
        <v>0</v>
      </c>
    </row>
    <row r="116" spans="1:4">
      <c r="A116" s="56" t="s">
        <v>50</v>
      </c>
      <c r="B116" t="s">
        <v>157</v>
      </c>
      <c r="D116" s="58">
        <v>0</v>
      </c>
    </row>
    <row r="117" spans="1:4">
      <c r="A117" s="56" t="s">
        <v>53</v>
      </c>
      <c r="B117" t="s">
        <v>219</v>
      </c>
      <c r="C117" s="56"/>
      <c r="D117" s="58">
        <v>0</v>
      </c>
    </row>
    <row r="118" spans="1:4">
      <c r="A118" s="56" t="s">
        <v>58</v>
      </c>
      <c r="D118" s="64">
        <f>SUBTOTAL(109,Módulo562_5811681[Valor])</f>
        <v>87.37</v>
      </c>
    </row>
    <row r="119" ht="15.75"/>
    <row r="120" ht="16.5" spans="1:4">
      <c r="A120" s="68" t="s">
        <v>220</v>
      </c>
      <c r="B120" s="68"/>
      <c r="C120" s="69" t="s">
        <v>202</v>
      </c>
      <c r="D120" s="70">
        <f>D31</f>
        <v>2575.36</v>
      </c>
    </row>
    <row r="121" ht="16.5" spans="1:4">
      <c r="A121" s="68"/>
      <c r="B121" s="68"/>
      <c r="C121" s="71" t="s">
        <v>211</v>
      </c>
      <c r="D121" s="70">
        <f>D72</f>
        <v>2098.69</v>
      </c>
    </row>
    <row r="122" ht="16.5" spans="1:4">
      <c r="A122" s="68"/>
      <c r="B122" s="68"/>
      <c r="C122" s="69" t="s">
        <v>212</v>
      </c>
      <c r="D122" s="70">
        <f>D82</f>
        <v>160.49</v>
      </c>
    </row>
    <row r="123" ht="16.5" spans="1:4">
      <c r="A123" s="68"/>
      <c r="B123" s="68"/>
      <c r="C123" s="71" t="s">
        <v>221</v>
      </c>
      <c r="D123" s="70">
        <f>D109</f>
        <v>128</v>
      </c>
    </row>
    <row r="124" ht="16.5" spans="1:4">
      <c r="A124" s="68"/>
      <c r="B124" s="68"/>
      <c r="C124" s="69" t="s">
        <v>222</v>
      </c>
      <c r="D124" s="70">
        <f>D118</f>
        <v>87.37</v>
      </c>
    </row>
    <row r="125" ht="16.5" spans="1:4">
      <c r="A125" s="68"/>
      <c r="B125" s="68"/>
      <c r="C125" s="71" t="s">
        <v>204</v>
      </c>
      <c r="D125" s="72">
        <f>TRUNC((SUM(D120:D124)),2)</f>
        <v>5049.91</v>
      </c>
    </row>
    <row r="126" ht="15.75"/>
    <row r="127" spans="1:4">
      <c r="A127" s="39" t="s">
        <v>164</v>
      </c>
      <c r="B127" s="39"/>
      <c r="C127" s="39"/>
      <c r="D127" s="39"/>
    </row>
    <row r="128" spans="1:7">
      <c r="A128" s="56" t="s">
        <v>165</v>
      </c>
      <c r="B128" t="s">
        <v>166</v>
      </c>
      <c r="C128" s="56" t="s">
        <v>38</v>
      </c>
      <c r="D128" s="56" t="s">
        <v>19</v>
      </c>
      <c r="F128" s="96" t="s">
        <v>223</v>
      </c>
      <c r="G128" s="96"/>
    </row>
    <row r="129" ht="15.75" spans="1:7">
      <c r="A129" s="56" t="s">
        <v>42</v>
      </c>
      <c r="B129" t="s">
        <v>167</v>
      </c>
      <c r="C129" s="97">
        <v>0.0404</v>
      </c>
      <c r="D129" s="95">
        <f>TRUNC(($D$125*C129),2)</f>
        <v>204.01</v>
      </c>
      <c r="F129" s="98" t="s">
        <v>224</v>
      </c>
      <c r="G129" s="82">
        <f>C131</f>
        <v>0.0865</v>
      </c>
    </row>
    <row r="130" ht="15.75" spans="1:7">
      <c r="A130" s="56" t="s">
        <v>45</v>
      </c>
      <c r="B130" t="s">
        <v>59</v>
      </c>
      <c r="C130" s="97">
        <v>0.035</v>
      </c>
      <c r="D130" s="95">
        <f>TRUNC((C130*(D125+D129)),2)</f>
        <v>183.88</v>
      </c>
      <c r="F130" s="99" t="s">
        <v>225</v>
      </c>
      <c r="G130" s="100">
        <f>TRUNC(SUM(D125,D129,D130),2)</f>
        <v>5437.8</v>
      </c>
    </row>
    <row r="131" spans="1:7">
      <c r="A131" s="56" t="s">
        <v>48</v>
      </c>
      <c r="B131" t="s">
        <v>168</v>
      </c>
      <c r="C131" s="74">
        <f>SUM(C132:C134)</f>
        <v>0.0865</v>
      </c>
      <c r="D131" s="58">
        <f>SUM(D132:D134)</f>
        <v>514.9</v>
      </c>
      <c r="F131" s="98" t="s">
        <v>226</v>
      </c>
      <c r="G131" s="101">
        <f>(100-8.65)/100</f>
        <v>0.9135</v>
      </c>
    </row>
    <row r="132" ht="15.75" spans="1:7">
      <c r="A132" s="56"/>
      <c r="B132" t="s">
        <v>227</v>
      </c>
      <c r="C132" s="74">
        <v>0.0065</v>
      </c>
      <c r="D132" s="58">
        <f t="shared" ref="D132:D134" si="3">TRUNC(($G$132*C132),2)</f>
        <v>38.69</v>
      </c>
      <c r="F132" s="99" t="s">
        <v>223</v>
      </c>
      <c r="G132" s="100">
        <f>TRUNC((G130/G131),2)</f>
        <v>5952.7</v>
      </c>
    </row>
    <row r="133" ht="15.75" spans="1:4">
      <c r="A133" s="56"/>
      <c r="B133" t="s">
        <v>228</v>
      </c>
      <c r="C133" s="74">
        <v>0.03</v>
      </c>
      <c r="D133" s="58">
        <f t="shared" si="3"/>
        <v>178.58</v>
      </c>
    </row>
    <row r="134" spans="1:4">
      <c r="A134" s="56"/>
      <c r="B134" t="s">
        <v>229</v>
      </c>
      <c r="C134" s="74">
        <v>0.05</v>
      </c>
      <c r="D134" s="58">
        <f t="shared" si="3"/>
        <v>297.63</v>
      </c>
    </row>
    <row r="135" spans="1:4">
      <c r="A135" s="56" t="s">
        <v>58</v>
      </c>
      <c r="B135" s="102"/>
      <c r="C135" s="103"/>
      <c r="D135" s="64">
        <f>SUM(D129:D131)</f>
        <v>902.79</v>
      </c>
    </row>
    <row r="136" spans="1:4">
      <c r="A136" s="56"/>
      <c r="C136" s="103"/>
      <c r="D136" s="64"/>
    </row>
    <row r="138" spans="1:4">
      <c r="A138" s="39" t="s">
        <v>172</v>
      </c>
      <c r="B138" s="39"/>
      <c r="C138" s="39"/>
      <c r="D138" s="39"/>
    </row>
    <row r="139" spans="1:4">
      <c r="A139" s="56" t="s">
        <v>16</v>
      </c>
      <c r="B139" s="56" t="s">
        <v>173</v>
      </c>
      <c r="C139" s="56" t="s">
        <v>102</v>
      </c>
      <c r="D139" s="56" t="s">
        <v>19</v>
      </c>
    </row>
    <row r="140" spans="1:4">
      <c r="A140" s="56" t="s">
        <v>42</v>
      </c>
      <c r="B140" t="s">
        <v>36</v>
      </c>
      <c r="D140" s="64">
        <f>D31</f>
        <v>2575.36</v>
      </c>
    </row>
    <row r="141" spans="1:4">
      <c r="A141" s="56" t="s">
        <v>45</v>
      </c>
      <c r="B141" t="s">
        <v>61</v>
      </c>
      <c r="D141" s="64">
        <f>D72</f>
        <v>2098.69</v>
      </c>
    </row>
    <row r="142" spans="1:4">
      <c r="A142" s="56" t="s">
        <v>48</v>
      </c>
      <c r="B142" t="s">
        <v>108</v>
      </c>
      <c r="D142" s="64">
        <f>D82</f>
        <v>160.49</v>
      </c>
    </row>
    <row r="143" spans="1:4">
      <c r="A143" s="56" t="s">
        <v>50</v>
      </c>
      <c r="B143" t="s">
        <v>174</v>
      </c>
      <c r="D143" s="64">
        <f>D109</f>
        <v>128</v>
      </c>
    </row>
    <row r="144" spans="1:4">
      <c r="A144" s="56" t="s">
        <v>53</v>
      </c>
      <c r="B144" t="s">
        <v>152</v>
      </c>
      <c r="D144" s="64">
        <f>D118</f>
        <v>87.37</v>
      </c>
    </row>
    <row r="145" spans="2:4">
      <c r="B145" s="104" t="s">
        <v>175</v>
      </c>
      <c r="D145" s="64">
        <f>SUM(D140:D144)</f>
        <v>5049.91</v>
      </c>
    </row>
    <row r="146" spans="1:4">
      <c r="A146" s="56" t="s">
        <v>55</v>
      </c>
      <c r="B146" t="s">
        <v>164</v>
      </c>
      <c r="D146" s="64">
        <f>D135</f>
        <v>902.79</v>
      </c>
    </row>
    <row r="147" spans="1:4">
      <c r="A147" s="105"/>
      <c r="B147" s="106" t="s">
        <v>230</v>
      </c>
      <c r="C147" s="105"/>
      <c r="D147" s="107">
        <f>TRUNC((SUM(D140:D144)+D146),2)</f>
        <v>5952.7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M13" sqref="M13"/>
    </sheetView>
  </sheetViews>
  <sheetFormatPr defaultColWidth="9.14285714285714" defaultRowHeight="15" outlineLevelCol="7"/>
  <cols>
    <col min="2" max="2" width="13.1619047619048" style="13" customWidth="1"/>
    <col min="3" max="3" width="39.3619047619048" customWidth="1"/>
    <col min="4" max="4" width="13.4571428571429" style="1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5" t="s">
        <v>244</v>
      </c>
      <c r="B2" s="16"/>
      <c r="C2" s="15"/>
      <c r="D2" s="17"/>
      <c r="E2" s="15"/>
      <c r="F2" s="15"/>
      <c r="G2" s="15"/>
      <c r="H2" s="15"/>
    </row>
    <row r="3" spans="1:8">
      <c r="A3" s="18" t="s">
        <v>245</v>
      </c>
      <c r="B3" s="19"/>
      <c r="C3" s="18"/>
      <c r="D3" s="20"/>
      <c r="E3" s="18"/>
      <c r="F3" s="18"/>
      <c r="G3" s="18"/>
      <c r="H3" s="18"/>
    </row>
    <row r="4" ht="60" spans="1:8">
      <c r="A4" s="21" t="s">
        <v>246</v>
      </c>
      <c r="B4" s="21" t="s">
        <v>247</v>
      </c>
      <c r="C4" s="21" t="s">
        <v>248</v>
      </c>
      <c r="D4" s="21" t="s">
        <v>249</v>
      </c>
      <c r="E4" s="21" t="s">
        <v>250</v>
      </c>
      <c r="F4" s="21" t="s">
        <v>251</v>
      </c>
      <c r="G4" s="21" t="s">
        <v>252</v>
      </c>
      <c r="H4" s="21" t="s">
        <v>253</v>
      </c>
    </row>
    <row r="5" ht="30" spans="1:8">
      <c r="A5" s="22">
        <v>1</v>
      </c>
      <c r="B5" s="23" t="s">
        <v>254</v>
      </c>
      <c r="C5" s="24" t="s">
        <v>255</v>
      </c>
      <c r="D5" s="23" t="s">
        <v>256</v>
      </c>
      <c r="E5" s="25">
        <v>77.08</v>
      </c>
      <c r="F5" s="23">
        <v>4</v>
      </c>
      <c r="G5" s="26">
        <f t="shared" ref="G5:G11" si="0">TRUNC(F5*E5,2)</f>
        <v>308.32</v>
      </c>
      <c r="H5" s="26">
        <f>TRUNC(G5/12,2)</f>
        <v>25.69</v>
      </c>
    </row>
    <row r="6" ht="45" spans="1:8">
      <c r="A6" s="22">
        <v>2</v>
      </c>
      <c r="B6" s="23" t="s">
        <v>257</v>
      </c>
      <c r="C6" s="24" t="s">
        <v>258</v>
      </c>
      <c r="D6" s="23" t="s">
        <v>256</v>
      </c>
      <c r="E6" s="25">
        <v>81.95</v>
      </c>
      <c r="F6" s="23">
        <v>2</v>
      </c>
      <c r="G6" s="26">
        <f t="shared" si="0"/>
        <v>163.9</v>
      </c>
      <c r="H6" s="26">
        <f t="shared" ref="H6:H11" si="1">TRUNC(G6/12,2)</f>
        <v>13.65</v>
      </c>
    </row>
    <row r="7" ht="60" spans="1:8">
      <c r="A7" s="22">
        <v>3</v>
      </c>
      <c r="B7" s="23" t="s">
        <v>259</v>
      </c>
      <c r="C7" s="24" t="s">
        <v>260</v>
      </c>
      <c r="D7" s="23" t="s">
        <v>256</v>
      </c>
      <c r="E7" s="25">
        <v>57.86</v>
      </c>
      <c r="F7" s="23">
        <v>4</v>
      </c>
      <c r="G7" s="26">
        <f t="shared" si="0"/>
        <v>231.44</v>
      </c>
      <c r="H7" s="26">
        <f t="shared" si="1"/>
        <v>19.28</v>
      </c>
    </row>
    <row r="8" ht="60" spans="1:8">
      <c r="A8" s="22">
        <v>4</v>
      </c>
      <c r="B8" s="23" t="s">
        <v>259</v>
      </c>
      <c r="C8" s="24" t="s">
        <v>261</v>
      </c>
      <c r="D8" s="23" t="s">
        <v>256</v>
      </c>
      <c r="E8" s="25">
        <v>39.32</v>
      </c>
      <c r="F8" s="23">
        <v>4</v>
      </c>
      <c r="G8" s="26">
        <f t="shared" si="0"/>
        <v>157.28</v>
      </c>
      <c r="H8" s="26">
        <f t="shared" si="1"/>
        <v>13.1</v>
      </c>
    </row>
    <row r="9" ht="30" spans="1:8">
      <c r="A9" s="22">
        <v>5</v>
      </c>
      <c r="B9" s="23" t="s">
        <v>262</v>
      </c>
      <c r="C9" s="24" t="s">
        <v>263</v>
      </c>
      <c r="D9" s="23" t="s">
        <v>264</v>
      </c>
      <c r="E9" s="25">
        <v>62.96</v>
      </c>
      <c r="F9" s="23">
        <v>2</v>
      </c>
      <c r="G9" s="26">
        <f t="shared" si="0"/>
        <v>125.92</v>
      </c>
      <c r="H9" s="26">
        <f t="shared" si="1"/>
        <v>10.49</v>
      </c>
    </row>
    <row r="10" ht="45" spans="1:8">
      <c r="A10" s="22">
        <v>6</v>
      </c>
      <c r="B10" s="23" t="s">
        <v>265</v>
      </c>
      <c r="C10" s="24" t="s">
        <v>266</v>
      </c>
      <c r="D10" s="23" t="s">
        <v>264</v>
      </c>
      <c r="E10" s="25">
        <v>14.4</v>
      </c>
      <c r="F10" s="23">
        <v>4</v>
      </c>
      <c r="G10" s="26">
        <f t="shared" si="0"/>
        <v>57.6</v>
      </c>
      <c r="H10" s="26">
        <f t="shared" si="1"/>
        <v>4.8</v>
      </c>
    </row>
    <row r="11" ht="45" spans="1:8">
      <c r="A11" s="22">
        <v>7</v>
      </c>
      <c r="B11" s="23" t="s">
        <v>267</v>
      </c>
      <c r="C11" s="24" t="s">
        <v>268</v>
      </c>
      <c r="D11" s="23" t="s">
        <v>256</v>
      </c>
      <c r="E11" s="25">
        <v>4.36</v>
      </c>
      <c r="F11" s="23">
        <v>1</v>
      </c>
      <c r="G11" s="26">
        <f t="shared" si="0"/>
        <v>4.36</v>
      </c>
      <c r="H11" s="26">
        <f t="shared" si="1"/>
        <v>0.36</v>
      </c>
    </row>
    <row r="12" spans="1:8">
      <c r="A12" s="27" t="s">
        <v>204</v>
      </c>
      <c r="B12" s="27"/>
      <c r="C12" s="27"/>
      <c r="D12" s="27"/>
      <c r="E12" s="27"/>
      <c r="F12" s="27"/>
      <c r="G12" s="28">
        <f>TRUNC(SUM(H5:H11),2)</f>
        <v>87.37</v>
      </c>
      <c r="H12" s="28"/>
    </row>
    <row r="13" spans="1:8">
      <c r="A13" s="29"/>
      <c r="B13" s="30"/>
      <c r="C13" s="29"/>
      <c r="D13" s="31"/>
      <c r="E13" s="29"/>
      <c r="F13" s="29"/>
      <c r="G13" s="29"/>
      <c r="H13" s="2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 EJA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2021-09-29T11:59:28Z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